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filterPrivacy="1" defaultThemeVersion="166925"/>
  <xr:revisionPtr revIDLastSave="0" documentId="13_ncr:1_{866DF68D-7494-444E-B7F0-15ADED641DC9}" xr6:coauthVersionLast="47" xr6:coauthVersionMax="47" xr10:uidLastSave="{00000000-0000-0000-0000-000000000000}"/>
  <bookViews>
    <workbookView xWindow="-110" yWindow="-110" windowWidth="19420" windowHeight="10420" xr2:uid="{D7298563-55F5-4C6A-9B39-D1258B70C652}"/>
  </bookViews>
  <sheets>
    <sheet name="RM811近畿1300km" sheetId="3" r:id="rId1"/>
    <sheet name="RM811近畿1300km (2)" sheetId="4" r:id="rId2"/>
  </sheets>
  <definedNames>
    <definedName name="_xlnm.Print_Area" localSheetId="0">RM811近畿1300km!$A$1:$I$217</definedName>
    <definedName name="_xlnm.Print_Area" localSheetId="1">'RM811近畿1300km (2)'!$B$1:$C$40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9" i="3" l="1"/>
  <c r="A52" i="3"/>
  <c r="A53" i="3"/>
  <c r="A54" i="3"/>
  <c r="A55" i="3"/>
  <c r="A56" i="3" s="1"/>
  <c r="F76" i="3"/>
  <c r="E54" i="3"/>
  <c r="E55" i="3"/>
  <c r="E56" i="3"/>
  <c r="M140" i="3"/>
  <c r="R134" i="3"/>
  <c r="M134" i="3"/>
  <c r="R126" i="3"/>
  <c r="M126" i="3"/>
  <c r="R102" i="3"/>
  <c r="M102" i="3"/>
  <c r="R93" i="3"/>
  <c r="M93" i="3"/>
  <c r="R70" i="3"/>
  <c r="M70" i="3"/>
  <c r="R62" i="3"/>
  <c r="M62" i="3"/>
  <c r="P58" i="3"/>
  <c r="Q58" i="3" s="1"/>
  <c r="R58" i="3"/>
  <c r="M58" i="3"/>
  <c r="M37" i="3"/>
  <c r="R34" i="3"/>
  <c r="M34" i="3"/>
  <c r="K102" i="3"/>
  <c r="L102" i="3" s="1"/>
  <c r="P93" i="3"/>
  <c r="Q93" i="3" s="1"/>
  <c r="K93" i="3"/>
  <c r="L93" i="3" s="1"/>
  <c r="P70" i="3"/>
  <c r="Q70" i="3" s="1"/>
  <c r="K70" i="3"/>
  <c r="L70" i="3" s="1"/>
  <c r="P62" i="3"/>
  <c r="Q62" i="3" s="1"/>
  <c r="K62" i="3"/>
  <c r="L62" i="3" s="1"/>
  <c r="K58" i="3"/>
  <c r="L58" i="3" s="1"/>
  <c r="P37" i="3"/>
  <c r="Q37" i="3" s="1"/>
  <c r="K37" i="3"/>
  <c r="L37" i="3" s="1"/>
  <c r="P34" i="3"/>
  <c r="Q34" i="3" s="1"/>
  <c r="K34" i="3"/>
  <c r="L34" i="3" s="1"/>
  <c r="C1" i="4"/>
  <c r="F140" i="3"/>
  <c r="K140" i="3" s="1"/>
  <c r="L140" i="3" s="1"/>
  <c r="F139" i="3"/>
  <c r="F138" i="3"/>
  <c r="F137" i="3"/>
  <c r="F135" i="3"/>
  <c r="F136" i="3"/>
  <c r="F134" i="3"/>
  <c r="F133" i="3"/>
  <c r="F132" i="3"/>
  <c r="F131" i="3"/>
  <c r="F130" i="3"/>
  <c r="F129" i="3"/>
  <c r="F128" i="3"/>
  <c r="F127" i="3"/>
  <c r="F126" i="3"/>
  <c r="K126" i="3" s="1"/>
  <c r="L126" i="3" s="1"/>
  <c r="F125" i="3"/>
  <c r="F124" i="3"/>
  <c r="F123" i="3"/>
  <c r="F122" i="3"/>
  <c r="F120" i="3"/>
  <c r="F121" i="3"/>
  <c r="F117" i="3"/>
  <c r="F118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P102" i="3" s="1"/>
  <c r="Q102" i="3" s="1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E133" i="3" l="1"/>
  <c r="P126" i="3"/>
  <c r="Q126" i="3" s="1"/>
  <c r="E134" i="3"/>
  <c r="E132" i="3"/>
  <c r="K134" i="3"/>
  <c r="L134" i="3" s="1"/>
  <c r="P134" i="3"/>
  <c r="Q134" i="3" s="1"/>
  <c r="E131" i="3"/>
  <c r="E135" i="3"/>
  <c r="E128" i="3"/>
  <c r="E129" i="3"/>
  <c r="E130" i="3"/>
  <c r="E137" i="3"/>
  <c r="E88" i="3"/>
  <c r="E140" i="3"/>
  <c r="E139" i="3"/>
  <c r="E138" i="3"/>
  <c r="E136" i="3"/>
  <c r="E89" i="3"/>
  <c r="E90" i="3"/>
  <c r="E91" i="3"/>
  <c r="E87" i="3"/>
  <c r="F84" i="3"/>
  <c r="E85" i="3" s="1"/>
  <c r="F83" i="3"/>
  <c r="F82" i="3"/>
  <c r="F81" i="3"/>
  <c r="F80" i="3"/>
  <c r="F79" i="3"/>
  <c r="F78" i="3"/>
  <c r="F77" i="3"/>
  <c r="F75" i="3"/>
  <c r="F74" i="3"/>
  <c r="F73" i="3"/>
  <c r="F72" i="3"/>
  <c r="E127" i="3"/>
  <c r="E126" i="3"/>
  <c r="E124" i="3"/>
  <c r="E123" i="3"/>
  <c r="E119" i="3"/>
  <c r="E117" i="3"/>
  <c r="E116" i="3"/>
  <c r="E115" i="3"/>
  <c r="E111" i="3"/>
  <c r="E110" i="3"/>
  <c r="E108" i="3"/>
  <c r="E107" i="3"/>
  <c r="E103" i="3"/>
  <c r="E102" i="3"/>
  <c r="E100" i="3"/>
  <c r="E99" i="3"/>
  <c r="E95" i="3"/>
  <c r="E94" i="3"/>
  <c r="E92" i="3"/>
  <c r="F71" i="3"/>
  <c r="E71" i="3" s="1"/>
  <c r="I1" i="3"/>
  <c r="E122" i="3"/>
  <c r="E121" i="3"/>
  <c r="E120" i="3"/>
  <c r="E114" i="3"/>
  <c r="E113" i="3"/>
  <c r="E112" i="3"/>
  <c r="E106" i="3"/>
  <c r="E105" i="3"/>
  <c r="E104" i="3"/>
  <c r="E98" i="3"/>
  <c r="E97" i="3"/>
  <c r="E96" i="3"/>
  <c r="E86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8" i="3"/>
  <c r="E27" i="3"/>
  <c r="E26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A5" i="3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E75" i="3" l="1"/>
  <c r="E80" i="3"/>
  <c r="E76" i="3"/>
  <c r="E81" i="3"/>
  <c r="E84" i="3"/>
  <c r="A19" i="3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E74" i="3"/>
  <c r="E77" i="3"/>
  <c r="E79" i="3"/>
  <c r="E72" i="3"/>
  <c r="E73" i="3"/>
  <c r="E78" i="3"/>
  <c r="E118" i="3"/>
  <c r="E93" i="3"/>
  <c r="E101" i="3"/>
  <c r="E109" i="3"/>
  <c r="E125" i="3"/>
  <c r="E83" i="3"/>
  <c r="E82" i="3"/>
  <c r="E29" i="3"/>
  <c r="E25" i="3"/>
  <c r="A88" i="3" l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l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</calcChain>
</file>

<file path=xl/sharedStrings.xml><?xml version="1.0" encoding="utf-8"?>
<sst xmlns="http://schemas.openxmlformats.org/spreadsheetml/2006/main" count="546" uniqueCount="245">
  <si>
    <t>ポイント</t>
    <phoneticPr fontId="1"/>
  </si>
  <si>
    <t>方向</t>
    <rPh sb="0" eb="2">
      <t>ホウコウ</t>
    </rPh>
    <phoneticPr fontId="1"/>
  </si>
  <si>
    <t>道路</t>
    <rPh sb="0" eb="2">
      <t>ドウロ</t>
    </rPh>
    <phoneticPr fontId="1"/>
  </si>
  <si>
    <t>区間</t>
    <rPh sb="0" eb="2">
      <t>クカン</t>
    </rPh>
    <phoneticPr fontId="1"/>
  </si>
  <si>
    <t>合計</t>
    <rPh sb="0" eb="2">
      <t>ゴウケイ</t>
    </rPh>
    <phoneticPr fontId="1"/>
  </si>
  <si>
    <t>備考</t>
    <rPh sb="0" eb="2">
      <t>ビコウ</t>
    </rPh>
    <phoneticPr fontId="1"/>
  </si>
  <si>
    <t>ＰＣ開閉時間</t>
    <rPh sb="2" eb="3">
      <t>ヒラ</t>
    </rPh>
    <rPh sb="3" eb="4">
      <t>ト</t>
    </rPh>
    <rPh sb="4" eb="6">
      <t>ジカン</t>
    </rPh>
    <phoneticPr fontId="1"/>
  </si>
  <si>
    <t>直進</t>
    <rPh sb="0" eb="2">
      <t>チョクシン</t>
    </rPh>
    <phoneticPr fontId="1"/>
  </si>
  <si>
    <t>左折</t>
    <rPh sb="0" eb="2">
      <t>サセツ</t>
    </rPh>
    <phoneticPr fontId="1"/>
  </si>
  <si>
    <t>右折</t>
    <rPh sb="0" eb="2">
      <t>ウセツ</t>
    </rPh>
    <phoneticPr fontId="1"/>
  </si>
  <si>
    <t>国道10号</t>
    <rPh sb="0" eb="2">
      <t>コクドウ</t>
    </rPh>
    <rPh sb="4" eb="5">
      <t>ゴウ</t>
    </rPh>
    <phoneticPr fontId="1"/>
  </si>
  <si>
    <t>市道</t>
    <rPh sb="0" eb="2">
      <t>シドウ</t>
    </rPh>
    <phoneticPr fontId="1"/>
  </si>
  <si>
    <t>十字路</t>
    <rPh sb="0" eb="3">
      <t>ジュウジロ</t>
    </rPh>
    <phoneticPr fontId="1"/>
  </si>
  <si>
    <t>道なり左折</t>
    <rPh sb="0" eb="1">
      <t>ミチ</t>
    </rPh>
    <rPh sb="3" eb="5">
      <t>サセツ</t>
    </rPh>
    <phoneticPr fontId="1"/>
  </si>
  <si>
    <t>┤字路</t>
    <phoneticPr fontId="1"/>
  </si>
  <si>
    <t>来た道戻る</t>
    <rPh sb="0" eb="1">
      <t>キ</t>
    </rPh>
    <rPh sb="2" eb="3">
      <t>ミチ</t>
    </rPh>
    <rPh sb="3" eb="4">
      <t>モド</t>
    </rPh>
    <phoneticPr fontId="1"/>
  </si>
  <si>
    <t>T字路</t>
    <rPh sb="1" eb="3">
      <t>ジロ</t>
    </rPh>
    <phoneticPr fontId="1"/>
  </si>
  <si>
    <t>十字路　S</t>
    <rPh sb="0" eb="3">
      <t>ジュウジロ</t>
    </rPh>
    <phoneticPr fontId="1"/>
  </si>
  <si>
    <t>┤字路　S</t>
    <phoneticPr fontId="1"/>
  </si>
  <si>
    <t>T字路　S</t>
    <rPh sb="1" eb="3">
      <t>ジロ</t>
    </rPh>
    <phoneticPr fontId="1"/>
  </si>
  <si>
    <t>国道197号</t>
    <rPh sb="0" eb="2">
      <t>コクドウ</t>
    </rPh>
    <rPh sb="5" eb="6">
      <t>ゴウ</t>
    </rPh>
    <phoneticPr fontId="1"/>
  </si>
  <si>
    <t>フェリー乗船</t>
    <rPh sb="4" eb="6">
      <t>ジョウセン</t>
    </rPh>
    <phoneticPr fontId="1"/>
  </si>
  <si>
    <t>Y字路</t>
    <rPh sb="1" eb="3">
      <t>ジロ</t>
    </rPh>
    <phoneticPr fontId="1"/>
  </si>
  <si>
    <t>公園を出て直進</t>
    <rPh sb="0" eb="2">
      <t>コウエン</t>
    </rPh>
    <rPh sb="3" eb="4">
      <t>デ</t>
    </rPh>
    <rPh sb="5" eb="7">
      <t>チョクシン</t>
    </rPh>
    <phoneticPr fontId="1"/>
  </si>
  <si>
    <t>富士見通　S</t>
    <rPh sb="0" eb="3">
      <t>フジミ</t>
    </rPh>
    <rPh sb="3" eb="4">
      <t>トオ</t>
    </rPh>
    <phoneticPr fontId="1"/>
  </si>
  <si>
    <t>県道645号→県道216号</t>
    <rPh sb="0" eb="2">
      <t>ケンドウ</t>
    </rPh>
    <rPh sb="5" eb="6">
      <t>ゴウ</t>
    </rPh>
    <rPh sb="7" eb="9">
      <t>ケンドウ</t>
    </rPh>
    <rPh sb="12" eb="13">
      <t>ゴウ</t>
    </rPh>
    <phoneticPr fontId="1"/>
  </si>
  <si>
    <t>堀田三差路　S</t>
    <rPh sb="0" eb="2">
      <t>ホッタ</t>
    </rPh>
    <rPh sb="2" eb="5">
      <t>サンサロ</t>
    </rPh>
    <phoneticPr fontId="1"/>
  </si>
  <si>
    <t>県道216号</t>
    <rPh sb="0" eb="2">
      <t>ケンドウ</t>
    </rPh>
    <rPh sb="5" eb="6">
      <t>ゴウ</t>
    </rPh>
    <phoneticPr fontId="1"/>
  </si>
  <si>
    <t>この先から上り始めます</t>
    <rPh sb="2" eb="3">
      <t>サキ</t>
    </rPh>
    <rPh sb="5" eb="6">
      <t>ノボ</t>
    </rPh>
    <rPh sb="7" eb="8">
      <t>ハジ</t>
    </rPh>
    <phoneticPr fontId="1"/>
  </si>
  <si>
    <t>湯布院入り口　S</t>
    <rPh sb="0" eb="3">
      <t>ユフイン</t>
    </rPh>
    <rPh sb="3" eb="4">
      <t>イ</t>
    </rPh>
    <rPh sb="5" eb="6">
      <t>グチ</t>
    </rPh>
    <phoneticPr fontId="1"/>
  </si>
  <si>
    <t>通過チェック①（フォトコントロール）
道の駅　湯布院</t>
    <rPh sb="0" eb="2">
      <t>ツウカ</t>
    </rPh>
    <rPh sb="19" eb="20">
      <t>ミチ</t>
    </rPh>
    <rPh sb="21" eb="22">
      <t>エキ</t>
    </rPh>
    <rPh sb="23" eb="26">
      <t>ユフイン</t>
    </rPh>
    <phoneticPr fontId="1"/>
  </si>
  <si>
    <t>道の駅湯布院看板をバックに自転車をとること</t>
    <rPh sb="0" eb="1">
      <t>ミチ</t>
    </rPh>
    <rPh sb="2" eb="3">
      <t>エキ</t>
    </rPh>
    <rPh sb="3" eb="6">
      <t>ユフイン</t>
    </rPh>
    <rPh sb="6" eb="8">
      <t>カンバン</t>
    </rPh>
    <rPh sb="13" eb="16">
      <t>ジテンシャ</t>
    </rPh>
    <phoneticPr fontId="1"/>
  </si>
  <si>
    <t>国道210号</t>
    <rPh sb="0" eb="2">
      <t>コクドウ</t>
    </rPh>
    <rPh sb="5" eb="6">
      <t>ゴウ</t>
    </rPh>
    <phoneticPr fontId="1"/>
  </si>
  <si>
    <t>16.6キロ地点　由布岳。
そのあと下って湯布院の市街地を走ります</t>
    <rPh sb="6" eb="8">
      <t>チテン</t>
    </rPh>
    <rPh sb="9" eb="12">
      <t>ユフダケ</t>
    </rPh>
    <rPh sb="18" eb="19">
      <t>クダ</t>
    </rPh>
    <rPh sb="21" eb="24">
      <t>ユフイン</t>
    </rPh>
    <rPh sb="25" eb="28">
      <t>シガイチ</t>
    </rPh>
    <rPh sb="29" eb="30">
      <t>ハシ</t>
    </rPh>
    <phoneticPr fontId="1"/>
  </si>
  <si>
    <t>Y字路　S</t>
    <rPh sb="1" eb="2">
      <t>ジ</t>
    </rPh>
    <phoneticPr fontId="1"/>
  </si>
  <si>
    <t>県道11号</t>
    <rPh sb="0" eb="2">
      <t>ケンドウ</t>
    </rPh>
    <rPh sb="4" eb="5">
      <t>ゴウ</t>
    </rPh>
    <phoneticPr fontId="1"/>
  </si>
  <si>
    <t>県道213号→国道265号</t>
    <rPh sb="0" eb="2">
      <t>ケンドウ</t>
    </rPh>
    <rPh sb="5" eb="6">
      <t>ゴウ</t>
    </rPh>
    <rPh sb="7" eb="9">
      <t>コクドウ</t>
    </rPh>
    <rPh sb="12" eb="13">
      <t>ゴウ</t>
    </rPh>
    <phoneticPr fontId="1"/>
  </si>
  <si>
    <t>信号がないので見落とし注意。箱石峠を目指します。</t>
    <rPh sb="0" eb="2">
      <t>シンゴウ</t>
    </rPh>
    <rPh sb="7" eb="9">
      <t>ミオ</t>
    </rPh>
    <rPh sb="11" eb="13">
      <t>チュウイ</t>
    </rPh>
    <rPh sb="14" eb="16">
      <t>ハコイシ</t>
    </rPh>
    <rPh sb="16" eb="17">
      <t>トウゲ</t>
    </rPh>
    <rPh sb="18" eb="20">
      <t>メザ</t>
    </rPh>
    <phoneticPr fontId="1"/>
  </si>
  <si>
    <t>町道</t>
    <rPh sb="0" eb="2">
      <t>チョウドウ</t>
    </rPh>
    <phoneticPr fontId="1"/>
  </si>
  <si>
    <t>通過チェック②（フォトコントロール）
箱石峠展望所</t>
    <rPh sb="0" eb="2">
      <t>ツウカ</t>
    </rPh>
    <rPh sb="19" eb="21">
      <t>ハコイシ</t>
    </rPh>
    <rPh sb="21" eb="22">
      <t>トウゲ</t>
    </rPh>
    <rPh sb="22" eb="25">
      <t>テンボウジョ</t>
    </rPh>
    <phoneticPr fontId="1"/>
  </si>
  <si>
    <t>町道</t>
    <rPh sb="0" eb="2">
      <t>マチミチ</t>
    </rPh>
    <phoneticPr fontId="1"/>
  </si>
  <si>
    <t>箱石峠展望所看板をバックに自転車の写真を撮ること</t>
    <rPh sb="0" eb="3">
      <t>ハコイシトウゲ</t>
    </rPh>
    <rPh sb="3" eb="6">
      <t>テンボウジョ</t>
    </rPh>
    <rPh sb="6" eb="8">
      <t>カンバン</t>
    </rPh>
    <rPh sb="13" eb="16">
      <t>ジテンシャ</t>
    </rPh>
    <rPh sb="17" eb="19">
      <t>シャシン</t>
    </rPh>
    <rPh sb="20" eb="21">
      <t>ト</t>
    </rPh>
    <phoneticPr fontId="1"/>
  </si>
  <si>
    <t>ここから一気に下ります</t>
    <rPh sb="4" eb="6">
      <t>イッキ</t>
    </rPh>
    <rPh sb="7" eb="8">
      <t>クダ</t>
    </rPh>
    <phoneticPr fontId="1"/>
  </si>
  <si>
    <t>国道265号</t>
    <rPh sb="0" eb="2">
      <t>コクドウ</t>
    </rPh>
    <rPh sb="5" eb="6">
      <t>ゴウ</t>
    </rPh>
    <phoneticPr fontId="1"/>
  </si>
  <si>
    <t>山都町柳　S</t>
    <rPh sb="0" eb="2">
      <t>ヤマト</t>
    </rPh>
    <rPh sb="2" eb="3">
      <t>マチ</t>
    </rPh>
    <rPh sb="3" eb="4">
      <t>ヤナギ</t>
    </rPh>
    <phoneticPr fontId="1"/>
  </si>
  <si>
    <t>116.6キロトンネル注意。</t>
    <rPh sb="11" eb="13">
      <t>チュウイ</t>
    </rPh>
    <phoneticPr fontId="1"/>
  </si>
  <si>
    <t>これより高千穂方面へ快走路</t>
    <rPh sb="4" eb="7">
      <t>タカチホ</t>
    </rPh>
    <rPh sb="7" eb="9">
      <t>ホウメン</t>
    </rPh>
    <rPh sb="10" eb="13">
      <t>カイソウロ</t>
    </rPh>
    <phoneticPr fontId="1"/>
  </si>
  <si>
    <t>国道325号</t>
    <rPh sb="0" eb="2">
      <t>コクドウ</t>
    </rPh>
    <rPh sb="5" eb="6">
      <t>ゴウ</t>
    </rPh>
    <phoneticPr fontId="1"/>
  </si>
  <si>
    <t>総合公園前　S</t>
    <rPh sb="0" eb="2">
      <t>ソウゴウ</t>
    </rPh>
    <rPh sb="2" eb="5">
      <t>コウエンマエ</t>
    </rPh>
    <phoneticPr fontId="1"/>
  </si>
  <si>
    <t>国道218号</t>
    <rPh sb="0" eb="2">
      <t>コクドウ</t>
    </rPh>
    <rPh sb="5" eb="6">
      <t>ゴウ</t>
    </rPh>
    <phoneticPr fontId="1"/>
  </si>
  <si>
    <t>警察署前　S</t>
    <rPh sb="0" eb="3">
      <t>ケイサツショ</t>
    </rPh>
    <rPh sb="3" eb="4">
      <t>マエ</t>
    </rPh>
    <phoneticPr fontId="1"/>
  </si>
  <si>
    <t>県道50号</t>
    <rPh sb="0" eb="2">
      <t>ケンドウ</t>
    </rPh>
    <rPh sb="4" eb="5">
      <t>ゴウ</t>
    </rPh>
    <phoneticPr fontId="1"/>
  </si>
  <si>
    <t>城山　S</t>
    <rPh sb="0" eb="2">
      <t>シロヤマ</t>
    </rPh>
    <phoneticPr fontId="1"/>
  </si>
  <si>
    <t>高千穂市街地を走る</t>
    <rPh sb="0" eb="6">
      <t>タカチホシガイチ</t>
    </rPh>
    <rPh sb="7" eb="8">
      <t>ハシ</t>
    </rPh>
    <phoneticPr fontId="1"/>
  </si>
  <si>
    <t>通過チェック③（フォトコントロール）
高千穂神社</t>
    <rPh sb="0" eb="2">
      <t>ツウカ</t>
    </rPh>
    <rPh sb="19" eb="24">
      <t>タカチホジンジャ</t>
    </rPh>
    <phoneticPr fontId="1"/>
  </si>
  <si>
    <t>高千穂神社石碑をバックに自転車の写真を撮ること</t>
    <rPh sb="0" eb="5">
      <t>タカチホジンジャ</t>
    </rPh>
    <rPh sb="5" eb="7">
      <t>セキヒ</t>
    </rPh>
    <rPh sb="12" eb="15">
      <t>ジテンシャ</t>
    </rPh>
    <rPh sb="16" eb="18">
      <t>シャシン</t>
    </rPh>
    <rPh sb="19" eb="20">
      <t>ト</t>
    </rPh>
    <phoneticPr fontId="1"/>
  </si>
  <si>
    <t>高架の手前を左折して国道へ合流</t>
    <rPh sb="0" eb="2">
      <t>コウカ</t>
    </rPh>
    <rPh sb="3" eb="5">
      <t>テマエ</t>
    </rPh>
    <rPh sb="6" eb="8">
      <t>サセツ</t>
    </rPh>
    <rPh sb="10" eb="12">
      <t>コクドウ</t>
    </rPh>
    <rPh sb="13" eb="15">
      <t>ゴウリュウ</t>
    </rPh>
    <phoneticPr fontId="1"/>
  </si>
  <si>
    <t>山都町畑　S</t>
    <rPh sb="0" eb="2">
      <t>ヤマト</t>
    </rPh>
    <rPh sb="2" eb="3">
      <t>マチ</t>
    </rPh>
    <rPh sb="3" eb="4">
      <t>ハタ</t>
    </rPh>
    <phoneticPr fontId="1"/>
  </si>
  <si>
    <t>県道39号</t>
    <rPh sb="0" eb="2">
      <t>ケンドウ</t>
    </rPh>
    <rPh sb="4" eb="5">
      <t>ゴウ</t>
    </rPh>
    <phoneticPr fontId="1"/>
  </si>
  <si>
    <t>角にファミリーマートあり</t>
    <rPh sb="0" eb="1">
      <t>カド</t>
    </rPh>
    <phoneticPr fontId="1"/>
  </si>
  <si>
    <t>山都町下市　S</t>
    <rPh sb="0" eb="3">
      <t>ヤマトチョウ</t>
    </rPh>
    <rPh sb="3" eb="5">
      <t>シモイチ</t>
    </rPh>
    <phoneticPr fontId="1"/>
  </si>
  <si>
    <t>この先通潤橋あります。</t>
    <rPh sb="2" eb="3">
      <t>サキ</t>
    </rPh>
    <rPh sb="3" eb="4">
      <t>トオル</t>
    </rPh>
    <rPh sb="4" eb="5">
      <t>ウルオ</t>
    </rPh>
    <rPh sb="5" eb="6">
      <t>ハシ</t>
    </rPh>
    <phoneticPr fontId="1"/>
  </si>
  <si>
    <t>県道180号</t>
    <rPh sb="0" eb="2">
      <t>ケンドウ</t>
    </rPh>
    <rPh sb="5" eb="6">
      <t>ゴウ</t>
    </rPh>
    <phoneticPr fontId="1"/>
  </si>
  <si>
    <t>Y字路</t>
    <rPh sb="1" eb="2">
      <t>ジ</t>
    </rPh>
    <phoneticPr fontId="1"/>
  </si>
  <si>
    <t>国道443号</t>
    <rPh sb="0" eb="2">
      <t>コクドウ</t>
    </rPh>
    <rPh sb="5" eb="6">
      <t>ゴウ</t>
    </rPh>
    <phoneticPr fontId="1"/>
  </si>
  <si>
    <t>国道445号→国道218号</t>
    <rPh sb="0" eb="2">
      <t>コクドウ</t>
    </rPh>
    <rPh sb="5" eb="6">
      <t>ゴウ</t>
    </rPh>
    <rPh sb="7" eb="9">
      <t>コクドウ</t>
    </rPh>
    <rPh sb="12" eb="13">
      <t>ゴウ</t>
    </rPh>
    <phoneticPr fontId="1"/>
  </si>
  <si>
    <t>東陽町南　S</t>
    <rPh sb="0" eb="3">
      <t>トウヨウチョウ</t>
    </rPh>
    <rPh sb="3" eb="4">
      <t>ミナミ</t>
    </rPh>
    <phoneticPr fontId="1"/>
  </si>
  <si>
    <t>国道3号</t>
    <rPh sb="0" eb="2">
      <t>コクドウ</t>
    </rPh>
    <rPh sb="3" eb="4">
      <t>ゴウ</t>
    </rPh>
    <phoneticPr fontId="1"/>
  </si>
  <si>
    <t>左側車線を走ってそのまま橋を渡る</t>
    <rPh sb="0" eb="2">
      <t>ヒダリガワ</t>
    </rPh>
    <rPh sb="2" eb="4">
      <t>シャセン</t>
    </rPh>
    <rPh sb="5" eb="6">
      <t>ハシ</t>
    </rPh>
    <rPh sb="12" eb="13">
      <t>ハシ</t>
    </rPh>
    <rPh sb="14" eb="15">
      <t>ワタ</t>
    </rPh>
    <phoneticPr fontId="1"/>
  </si>
  <si>
    <t>国道219号</t>
    <rPh sb="0" eb="2">
      <t>コクドウ</t>
    </rPh>
    <rPh sb="5" eb="6">
      <t>ゴウ</t>
    </rPh>
    <phoneticPr fontId="1"/>
  </si>
  <si>
    <t>豊原中町　S</t>
    <rPh sb="0" eb="2">
      <t>トヨハラ</t>
    </rPh>
    <rPh sb="2" eb="4">
      <t>ナカマチ</t>
    </rPh>
    <phoneticPr fontId="1"/>
  </si>
  <si>
    <t>PC1　ローソン八代高田店</t>
    <rPh sb="8" eb="10">
      <t>ヤツシロ</t>
    </rPh>
    <rPh sb="10" eb="12">
      <t>タカダ</t>
    </rPh>
    <rPh sb="12" eb="13">
      <t>ミセ</t>
    </rPh>
    <phoneticPr fontId="1"/>
  </si>
  <si>
    <t>レシート取得すること</t>
    <rPh sb="4" eb="6">
      <t>シュトク</t>
    </rPh>
    <phoneticPr fontId="1"/>
  </si>
  <si>
    <t>平山新町　S</t>
    <rPh sb="0" eb="2">
      <t>ヒラヤマ</t>
    </rPh>
    <rPh sb="2" eb="4">
      <t>シンマチ</t>
    </rPh>
    <phoneticPr fontId="1"/>
  </si>
  <si>
    <t>ひたすら国道3号を直進</t>
    <rPh sb="4" eb="6">
      <t>コクドウ</t>
    </rPh>
    <rPh sb="7" eb="8">
      <t>ゴウ</t>
    </rPh>
    <rPh sb="9" eb="11">
      <t>チョクシン</t>
    </rPh>
    <phoneticPr fontId="1"/>
  </si>
  <si>
    <t>国道268号</t>
    <rPh sb="0" eb="2">
      <t>コクドウ</t>
    </rPh>
    <rPh sb="5" eb="6">
      <t>ゴウ</t>
    </rPh>
    <phoneticPr fontId="1"/>
  </si>
  <si>
    <t>水俣IC入口　S</t>
    <rPh sb="0" eb="2">
      <t>ミナマタ</t>
    </rPh>
    <rPh sb="4" eb="6">
      <t>イリグチ</t>
    </rPh>
    <phoneticPr fontId="1"/>
  </si>
  <si>
    <t>PC2 セブンイレブン伊佐大口目丸店</t>
    <rPh sb="11" eb="13">
      <t>イサ</t>
    </rPh>
    <rPh sb="13" eb="15">
      <t>オオグチ</t>
    </rPh>
    <rPh sb="15" eb="16">
      <t>メ</t>
    </rPh>
    <rPh sb="16" eb="17">
      <t>マル</t>
    </rPh>
    <rPh sb="17" eb="18">
      <t>ミセ</t>
    </rPh>
    <phoneticPr fontId="1"/>
  </si>
  <si>
    <t>国道447号</t>
    <rPh sb="0" eb="2">
      <t>コクドウ</t>
    </rPh>
    <rPh sb="5" eb="6">
      <t>ゴウ</t>
    </rPh>
    <phoneticPr fontId="1"/>
  </si>
  <si>
    <t>県道53号</t>
    <rPh sb="0" eb="2">
      <t>ケンドウ</t>
    </rPh>
    <rPh sb="4" eb="5">
      <t>ゴウ</t>
    </rPh>
    <phoneticPr fontId="1"/>
  </si>
  <si>
    <t>この先霧島バードラインが始まります</t>
    <rPh sb="2" eb="3">
      <t>サキ</t>
    </rPh>
    <rPh sb="3" eb="5">
      <t>キリシマ</t>
    </rPh>
    <rPh sb="12" eb="13">
      <t>ハジ</t>
    </rPh>
    <phoneticPr fontId="1"/>
  </si>
  <si>
    <t>ト字路</t>
    <rPh sb="1" eb="3">
      <t>ジロ</t>
    </rPh>
    <phoneticPr fontId="1"/>
  </si>
  <si>
    <t>県道1号</t>
    <rPh sb="0" eb="2">
      <t>ケンドウ</t>
    </rPh>
    <rPh sb="3" eb="4">
      <t>ゴウ</t>
    </rPh>
    <phoneticPr fontId="1"/>
  </si>
  <si>
    <t>えびの高原に到着。コンビニあります。ここから下ります。</t>
    <rPh sb="3" eb="5">
      <t>コウゲン</t>
    </rPh>
    <rPh sb="6" eb="8">
      <t>トウチャク</t>
    </rPh>
    <rPh sb="22" eb="23">
      <t>クダ</t>
    </rPh>
    <phoneticPr fontId="1"/>
  </si>
  <si>
    <t>この先ハードな上りできついです。ファイト！！</t>
    <rPh sb="2" eb="3">
      <t>サキ</t>
    </rPh>
    <rPh sb="7" eb="8">
      <t>ノボ</t>
    </rPh>
    <phoneticPr fontId="1"/>
  </si>
  <si>
    <t>霧島温泉丸尾　S</t>
    <rPh sb="0" eb="2">
      <t>キリシマ</t>
    </rPh>
    <rPh sb="2" eb="4">
      <t>オンセン</t>
    </rPh>
    <rPh sb="4" eb="6">
      <t>マルオ</t>
    </rPh>
    <phoneticPr fontId="1"/>
  </si>
  <si>
    <t>角にローソンあります。</t>
    <rPh sb="0" eb="1">
      <t>カド</t>
    </rPh>
    <phoneticPr fontId="1"/>
  </si>
  <si>
    <t>国道223号</t>
    <rPh sb="0" eb="2">
      <t>コクドウ</t>
    </rPh>
    <rPh sb="5" eb="6">
      <t>ゴウ</t>
    </rPh>
    <phoneticPr fontId="1"/>
  </si>
  <si>
    <t>ここから下り基調のアップダウン。</t>
    <rPh sb="4" eb="5">
      <t>クダ</t>
    </rPh>
    <rPh sb="6" eb="8">
      <t>キチョウ</t>
    </rPh>
    <phoneticPr fontId="1"/>
  </si>
  <si>
    <t>国道223号→県道29号</t>
    <rPh sb="0" eb="2">
      <t>コクドウ</t>
    </rPh>
    <rPh sb="5" eb="6">
      <t>ゴウ</t>
    </rPh>
    <rPh sb="7" eb="9">
      <t>ケンドウ</t>
    </rPh>
    <rPh sb="11" eb="12">
      <t>ゴウ</t>
    </rPh>
    <phoneticPr fontId="1"/>
  </si>
  <si>
    <t>野尻町追分　S</t>
    <rPh sb="0" eb="2">
      <t>ノジリ</t>
    </rPh>
    <rPh sb="2" eb="3">
      <t>マチ</t>
    </rPh>
    <rPh sb="3" eb="5">
      <t>オイワケ</t>
    </rPh>
    <phoneticPr fontId="1"/>
  </si>
  <si>
    <t>国道268号→国道10号</t>
    <rPh sb="0" eb="2">
      <t>コクドウ</t>
    </rPh>
    <rPh sb="5" eb="6">
      <t>ゴウ</t>
    </rPh>
    <rPh sb="7" eb="9">
      <t>コクドウ</t>
    </rPh>
    <rPh sb="11" eb="12">
      <t>ゴウ</t>
    </rPh>
    <phoneticPr fontId="1"/>
  </si>
  <si>
    <t>国道10号（側道）</t>
    <rPh sb="0" eb="2">
      <t>コクドウ</t>
    </rPh>
    <rPh sb="4" eb="5">
      <t>ゴウ</t>
    </rPh>
    <rPh sb="6" eb="8">
      <t>ソクドウ</t>
    </rPh>
    <phoneticPr fontId="1"/>
  </si>
  <si>
    <t>側道をおります</t>
    <rPh sb="0" eb="2">
      <t>ソクドウ</t>
    </rPh>
    <phoneticPr fontId="1"/>
  </si>
  <si>
    <t>県道24号</t>
    <rPh sb="0" eb="2">
      <t>ケンドウ</t>
    </rPh>
    <rPh sb="4" eb="5">
      <t>ゴウ</t>
    </rPh>
    <phoneticPr fontId="1"/>
  </si>
  <si>
    <t>舞鶴公園　S</t>
    <rPh sb="0" eb="2">
      <t>マイツル</t>
    </rPh>
    <rPh sb="2" eb="4">
      <t>コウエン</t>
    </rPh>
    <phoneticPr fontId="1"/>
  </si>
  <si>
    <t>高鍋町黒谷　S</t>
    <rPh sb="0" eb="3">
      <t>タカナベチョウ</t>
    </rPh>
    <rPh sb="3" eb="5">
      <t>クロタニ</t>
    </rPh>
    <phoneticPr fontId="1"/>
  </si>
  <si>
    <t>高鍋町東町　S</t>
    <rPh sb="0" eb="3">
      <t>タカナベチョウ</t>
    </rPh>
    <rPh sb="3" eb="5">
      <t>ヒガシマチ</t>
    </rPh>
    <phoneticPr fontId="1"/>
  </si>
  <si>
    <t>県道19号→県道304号</t>
    <rPh sb="0" eb="2">
      <t>ケンドウ</t>
    </rPh>
    <rPh sb="4" eb="5">
      <t>ゴウ</t>
    </rPh>
    <rPh sb="6" eb="8">
      <t>ケンドウ</t>
    </rPh>
    <rPh sb="11" eb="12">
      <t>ゴウ</t>
    </rPh>
    <phoneticPr fontId="1"/>
  </si>
  <si>
    <t>県道304号</t>
    <rPh sb="0" eb="2">
      <t>ケンドウ</t>
    </rPh>
    <rPh sb="5" eb="6">
      <t>ゴウ</t>
    </rPh>
    <phoneticPr fontId="1"/>
  </si>
  <si>
    <t>川南漁港方面へ</t>
    <rPh sb="0" eb="2">
      <t>カワミナミ</t>
    </rPh>
    <rPh sb="2" eb="6">
      <t>ギョコウホウメン</t>
    </rPh>
    <phoneticPr fontId="1"/>
  </si>
  <si>
    <t>通山小前　S</t>
    <rPh sb="0" eb="1">
      <t>トオ</t>
    </rPh>
    <rPh sb="1" eb="2">
      <t>ヤマ</t>
    </rPh>
    <rPh sb="2" eb="3">
      <t>ショウ</t>
    </rPh>
    <rPh sb="3" eb="4">
      <t>マエ</t>
    </rPh>
    <phoneticPr fontId="1"/>
  </si>
  <si>
    <t>県道302号</t>
    <rPh sb="0" eb="2">
      <t>ケンドウ</t>
    </rPh>
    <rPh sb="5" eb="6">
      <t>ゴウ</t>
    </rPh>
    <phoneticPr fontId="1"/>
  </si>
  <si>
    <t>この先海沿いへ</t>
    <rPh sb="2" eb="3">
      <t>サキ</t>
    </rPh>
    <rPh sb="3" eb="5">
      <t>ウミゾ</t>
    </rPh>
    <phoneticPr fontId="1"/>
  </si>
  <si>
    <t>川南浪掛　S</t>
    <rPh sb="0" eb="2">
      <t>カワミナミ</t>
    </rPh>
    <rPh sb="2" eb="3">
      <t>ナミ</t>
    </rPh>
    <rPh sb="3" eb="4">
      <t>カ</t>
    </rPh>
    <phoneticPr fontId="1"/>
  </si>
  <si>
    <t>宮ノ下　S</t>
    <rPh sb="0" eb="1">
      <t>ミヤ</t>
    </rPh>
    <rPh sb="2" eb="3">
      <t>シタ</t>
    </rPh>
    <phoneticPr fontId="1"/>
  </si>
  <si>
    <t>国道10号→国道388号</t>
    <rPh sb="0" eb="2">
      <t>コクドウ</t>
    </rPh>
    <rPh sb="4" eb="5">
      <t>ゴウ</t>
    </rPh>
    <rPh sb="6" eb="8">
      <t>コクドウ</t>
    </rPh>
    <rPh sb="11" eb="12">
      <t>ゴウ</t>
    </rPh>
    <phoneticPr fontId="1"/>
  </si>
  <si>
    <t>国道388号→国道10号</t>
    <rPh sb="0" eb="2">
      <t>コクドウ</t>
    </rPh>
    <rPh sb="5" eb="6">
      <t>ゴウ</t>
    </rPh>
    <rPh sb="7" eb="9">
      <t>コクドウ</t>
    </rPh>
    <rPh sb="11" eb="12">
      <t>ゴウ</t>
    </rPh>
    <phoneticPr fontId="1"/>
  </si>
  <si>
    <t>曽立　S</t>
    <rPh sb="0" eb="1">
      <t>ソウ</t>
    </rPh>
    <rPh sb="1" eb="2">
      <t>タチ</t>
    </rPh>
    <phoneticPr fontId="1"/>
  </si>
  <si>
    <t>ひたすら直進して峠を越えます</t>
    <rPh sb="4" eb="6">
      <t>チョクシン</t>
    </rPh>
    <rPh sb="8" eb="9">
      <t>トウゲ</t>
    </rPh>
    <rPh sb="10" eb="11">
      <t>コ</t>
    </rPh>
    <phoneticPr fontId="1"/>
  </si>
  <si>
    <t>国道326号</t>
    <rPh sb="0" eb="2">
      <t>コクドウ</t>
    </rPh>
    <rPh sb="5" eb="6">
      <t>ゴウ</t>
    </rPh>
    <phoneticPr fontId="1"/>
  </si>
  <si>
    <t>市場一区　S</t>
    <rPh sb="0" eb="2">
      <t>イチバ</t>
    </rPh>
    <rPh sb="2" eb="4">
      <t>イチク</t>
    </rPh>
    <phoneticPr fontId="1"/>
  </si>
  <si>
    <t>PC4 ファミリーマート豊後大野三重市場店</t>
    <rPh sb="12" eb="16">
      <t>ブンゴオオノ</t>
    </rPh>
    <rPh sb="16" eb="18">
      <t>ミエ</t>
    </rPh>
    <rPh sb="18" eb="20">
      <t>イチバ</t>
    </rPh>
    <rPh sb="20" eb="21">
      <t>ミセ</t>
    </rPh>
    <phoneticPr fontId="1"/>
  </si>
  <si>
    <t>三重原交差点　S</t>
    <rPh sb="0" eb="3">
      <t>ミエハラ</t>
    </rPh>
    <rPh sb="3" eb="6">
      <t>コウサテン</t>
    </rPh>
    <phoneticPr fontId="1"/>
  </si>
  <si>
    <t>国道502号</t>
    <rPh sb="0" eb="2">
      <t>コクドウ</t>
    </rPh>
    <rPh sb="5" eb="6">
      <t>ゴウ</t>
    </rPh>
    <phoneticPr fontId="1"/>
  </si>
  <si>
    <t>野津町明治橋　S</t>
    <rPh sb="0" eb="2">
      <t>ノツ</t>
    </rPh>
    <rPh sb="2" eb="3">
      <t>マチ</t>
    </rPh>
    <rPh sb="3" eb="6">
      <t>メイジバシ</t>
    </rPh>
    <phoneticPr fontId="1"/>
  </si>
  <si>
    <t>日当三差路　S</t>
    <rPh sb="0" eb="2">
      <t>ニットウ</t>
    </rPh>
    <rPh sb="2" eb="5">
      <t>サンサロ</t>
    </rPh>
    <phoneticPr fontId="1"/>
  </si>
  <si>
    <t>橋を渡る</t>
    <rPh sb="0" eb="1">
      <t>ハシ</t>
    </rPh>
    <rPh sb="2" eb="3">
      <t>ワタ</t>
    </rPh>
    <phoneticPr fontId="1"/>
  </si>
  <si>
    <t>国道217号</t>
    <rPh sb="0" eb="2">
      <t>コクドウ</t>
    </rPh>
    <rPh sb="5" eb="6">
      <t>ゴウ</t>
    </rPh>
    <phoneticPr fontId="1"/>
  </si>
  <si>
    <t>フェリー降船後直進</t>
    <rPh sb="4" eb="5">
      <t>オ</t>
    </rPh>
    <rPh sb="5" eb="6">
      <t>フネ</t>
    </rPh>
    <rPh sb="6" eb="7">
      <t>ノチ</t>
    </rPh>
    <rPh sb="7" eb="9">
      <t>チョクシン</t>
    </rPh>
    <phoneticPr fontId="1"/>
  </si>
  <si>
    <t>フェリーから降りて直進</t>
    <rPh sb="6" eb="7">
      <t>オ</t>
    </rPh>
    <rPh sb="9" eb="11">
      <t>チョクシン</t>
    </rPh>
    <phoneticPr fontId="1"/>
  </si>
  <si>
    <t>PC5　国道九四フェリー乗り場（九州側）</t>
    <rPh sb="4" eb="6">
      <t>コクドウ</t>
    </rPh>
    <rPh sb="6" eb="7">
      <t>キュウ</t>
    </rPh>
    <rPh sb="7" eb="8">
      <t>ヨン</t>
    </rPh>
    <rPh sb="12" eb="13">
      <t>ノ</t>
    </rPh>
    <rPh sb="14" eb="15">
      <t>バ</t>
    </rPh>
    <rPh sb="16" eb="18">
      <t>キュウシュウ</t>
    </rPh>
    <rPh sb="18" eb="19">
      <t>ガワ</t>
    </rPh>
    <phoneticPr fontId="1"/>
  </si>
  <si>
    <t>国道197号→国道378号</t>
    <rPh sb="0" eb="2">
      <t>コクドウ</t>
    </rPh>
    <rPh sb="5" eb="6">
      <t>ゴウ</t>
    </rPh>
    <rPh sb="7" eb="9">
      <t>コクドウ</t>
    </rPh>
    <rPh sb="12" eb="13">
      <t>ゴウ</t>
    </rPh>
    <phoneticPr fontId="1"/>
  </si>
  <si>
    <t>県道25号</t>
    <rPh sb="0" eb="2">
      <t>ケンドウ</t>
    </rPh>
    <rPh sb="4" eb="5">
      <t>ゴウ</t>
    </rPh>
    <phoneticPr fontId="1"/>
  </si>
  <si>
    <t>日野浦橋交差点　S</t>
    <rPh sb="0" eb="4">
      <t>ヒノウラバシ</t>
    </rPh>
    <rPh sb="4" eb="7">
      <t>コウサテン</t>
    </rPh>
    <phoneticPr fontId="1"/>
  </si>
  <si>
    <t>上松葉駐在所前　S</t>
    <rPh sb="0" eb="3">
      <t>ウエマツバ</t>
    </rPh>
    <rPh sb="3" eb="6">
      <t>チュウザイショ</t>
    </rPh>
    <rPh sb="6" eb="7">
      <t>マエ</t>
    </rPh>
    <phoneticPr fontId="1"/>
  </si>
  <si>
    <t>これより佐田岬メロディーラインをひたすら直進、アップダウンきつい。その後国道378号をひたすら直進、緩い上り基調。</t>
    <rPh sb="4" eb="7">
      <t>サダミサキ</t>
    </rPh>
    <rPh sb="20" eb="22">
      <t>チョクシン</t>
    </rPh>
    <rPh sb="35" eb="36">
      <t>ゴ</t>
    </rPh>
    <rPh sb="36" eb="38">
      <t>コクドウ</t>
    </rPh>
    <rPh sb="41" eb="42">
      <t>ゴウ</t>
    </rPh>
    <rPh sb="47" eb="49">
      <t>チョクシン</t>
    </rPh>
    <rPh sb="50" eb="51">
      <t>ユル</t>
    </rPh>
    <rPh sb="52" eb="53">
      <t>ノボ</t>
    </rPh>
    <rPh sb="54" eb="56">
      <t>キチョウ</t>
    </rPh>
    <phoneticPr fontId="1"/>
  </si>
  <si>
    <t>この先法華津峠。そこから一気に下ります。</t>
    <rPh sb="2" eb="3">
      <t>サキ</t>
    </rPh>
    <rPh sb="3" eb="6">
      <t>ホケツ</t>
    </rPh>
    <rPh sb="6" eb="7">
      <t>トウゲ</t>
    </rPh>
    <rPh sb="12" eb="14">
      <t>イッキ</t>
    </rPh>
    <rPh sb="15" eb="16">
      <t>クダ</t>
    </rPh>
    <phoneticPr fontId="1"/>
  </si>
  <si>
    <t>県道274号</t>
    <rPh sb="0" eb="2">
      <t>ケンドウ</t>
    </rPh>
    <rPh sb="5" eb="6">
      <t>ゴウ</t>
    </rPh>
    <phoneticPr fontId="1"/>
  </si>
  <si>
    <t>海沿いの道へ。やらしいアップダウンです。</t>
    <rPh sb="0" eb="2">
      <t>ウミゾ</t>
    </rPh>
    <rPh sb="4" eb="5">
      <t>ミチ</t>
    </rPh>
    <phoneticPr fontId="1"/>
  </si>
  <si>
    <t>市道→県道274号</t>
    <rPh sb="0" eb="2">
      <t>シドウ</t>
    </rPh>
    <rPh sb="3" eb="5">
      <t>ケンドウ</t>
    </rPh>
    <rPh sb="8" eb="9">
      <t>ゴウ</t>
    </rPh>
    <phoneticPr fontId="1"/>
  </si>
  <si>
    <t>橋を渡ってすぐに曲がる</t>
    <rPh sb="0" eb="1">
      <t>ハシ</t>
    </rPh>
    <rPh sb="2" eb="3">
      <t>ワタ</t>
    </rPh>
    <rPh sb="8" eb="9">
      <t>マ</t>
    </rPh>
    <phoneticPr fontId="1"/>
  </si>
  <si>
    <t>高架下を直進</t>
    <rPh sb="0" eb="3">
      <t>コウカシタ</t>
    </rPh>
    <rPh sb="4" eb="6">
      <t>チョクシン</t>
    </rPh>
    <phoneticPr fontId="1"/>
  </si>
  <si>
    <t>宇和島南IC　S</t>
    <rPh sb="0" eb="3">
      <t>ウワジマ</t>
    </rPh>
    <rPh sb="3" eb="4">
      <t>ミナミ</t>
    </rPh>
    <phoneticPr fontId="1"/>
  </si>
  <si>
    <t>国道56号</t>
    <rPh sb="0" eb="2">
      <t>コクドウ</t>
    </rPh>
    <rPh sb="4" eb="5">
      <t>ゴウ</t>
    </rPh>
    <phoneticPr fontId="1"/>
  </si>
  <si>
    <t>市道→国道56号</t>
    <rPh sb="0" eb="2">
      <t>シドウ</t>
    </rPh>
    <rPh sb="3" eb="5">
      <t>コクドウ</t>
    </rPh>
    <rPh sb="7" eb="8">
      <t>ゴウ</t>
    </rPh>
    <phoneticPr fontId="1"/>
  </si>
  <si>
    <t>市道から国道56号へ。やらしいアップダウン続きます</t>
    <rPh sb="0" eb="2">
      <t>シドウ</t>
    </rPh>
    <rPh sb="4" eb="6">
      <t>コクドウ</t>
    </rPh>
    <rPh sb="8" eb="9">
      <t>ゴウ</t>
    </rPh>
    <rPh sb="21" eb="22">
      <t>ツヅ</t>
    </rPh>
    <phoneticPr fontId="1"/>
  </si>
  <si>
    <t>国道321号</t>
    <rPh sb="0" eb="2">
      <t>コクドウ</t>
    </rPh>
    <rPh sb="5" eb="6">
      <t>ゴウ</t>
    </rPh>
    <phoneticPr fontId="1"/>
  </si>
  <si>
    <t>ト字路　S</t>
    <rPh sb="1" eb="3">
      <t>ジロ</t>
    </rPh>
    <phoneticPr fontId="1"/>
  </si>
  <si>
    <t>県道27号</t>
    <rPh sb="0" eb="2">
      <t>ケンドウ</t>
    </rPh>
    <rPh sb="4" eb="5">
      <t>ゴウ</t>
    </rPh>
    <phoneticPr fontId="1"/>
  </si>
  <si>
    <t>県道346号</t>
    <rPh sb="0" eb="2">
      <t>ケンドウ</t>
    </rPh>
    <rPh sb="5" eb="6">
      <t>ゴウ</t>
    </rPh>
    <phoneticPr fontId="1"/>
  </si>
  <si>
    <t>五差路　S</t>
    <rPh sb="0" eb="3">
      <t>ゴサロ</t>
    </rPh>
    <phoneticPr fontId="1"/>
  </si>
  <si>
    <t>県道340号</t>
    <rPh sb="0" eb="2">
      <t>ケンドウ</t>
    </rPh>
    <rPh sb="5" eb="6">
      <t>ゴウ</t>
    </rPh>
    <phoneticPr fontId="1"/>
  </si>
  <si>
    <t>国道441号</t>
    <rPh sb="0" eb="2">
      <t>コクドウ</t>
    </rPh>
    <rPh sb="5" eb="6">
      <t>ゴウ</t>
    </rPh>
    <phoneticPr fontId="1"/>
  </si>
  <si>
    <t>国道381号</t>
    <rPh sb="0" eb="2">
      <t>コクドウ</t>
    </rPh>
    <rPh sb="5" eb="6">
      <t>ゴウ</t>
    </rPh>
    <phoneticPr fontId="1"/>
  </si>
  <si>
    <t>大きな十字路を右折。</t>
    <rPh sb="0" eb="1">
      <t>オオ</t>
    </rPh>
    <rPh sb="3" eb="6">
      <t>ジュウジロ</t>
    </rPh>
    <rPh sb="7" eb="9">
      <t>ウセツ</t>
    </rPh>
    <phoneticPr fontId="1"/>
  </si>
  <si>
    <t>いよいよ足摺岬へ。アップダウンあります。</t>
    <rPh sb="4" eb="6">
      <t>アシズリ</t>
    </rPh>
    <rPh sb="6" eb="7">
      <t>ミサキ</t>
    </rPh>
    <phoneticPr fontId="1"/>
  </si>
  <si>
    <t>ちょっとした峠道を走ります。</t>
    <rPh sb="6" eb="8">
      <t>トウゲミチ</t>
    </rPh>
    <rPh sb="9" eb="10">
      <t>ハシ</t>
    </rPh>
    <phoneticPr fontId="1"/>
  </si>
  <si>
    <t>四万十川沿いを走ります。</t>
    <rPh sb="0" eb="4">
      <t>シマントガワ</t>
    </rPh>
    <rPh sb="4" eb="5">
      <t>ゾ</t>
    </rPh>
    <rPh sb="7" eb="8">
      <t>ハシ</t>
    </rPh>
    <phoneticPr fontId="1"/>
  </si>
  <si>
    <t>四万十　赤鉄橋を渡ります。</t>
    <rPh sb="0" eb="3">
      <t>シマント</t>
    </rPh>
    <rPh sb="4" eb="7">
      <t>アカテッキョウ</t>
    </rPh>
    <rPh sb="8" eb="9">
      <t>ワタ</t>
    </rPh>
    <phoneticPr fontId="1"/>
  </si>
  <si>
    <t>左折して手前の道に進んでください。しばらく進むと本格的に四万十ライド開始。</t>
    <rPh sb="0" eb="2">
      <t>サセツ</t>
    </rPh>
    <rPh sb="4" eb="6">
      <t>テマエ</t>
    </rPh>
    <rPh sb="7" eb="8">
      <t>ミチ</t>
    </rPh>
    <rPh sb="9" eb="10">
      <t>スス</t>
    </rPh>
    <rPh sb="21" eb="22">
      <t>スス</t>
    </rPh>
    <rPh sb="24" eb="27">
      <t>ホンカクテキ</t>
    </rPh>
    <rPh sb="28" eb="31">
      <t>シマント</t>
    </rPh>
    <rPh sb="34" eb="36">
      <t>カイシ</t>
    </rPh>
    <phoneticPr fontId="1"/>
  </si>
  <si>
    <t>国道441号へ。川沿いの快走路が続きます。</t>
    <rPh sb="0" eb="2">
      <t>コクドウ</t>
    </rPh>
    <rPh sb="5" eb="6">
      <t>ゴウ</t>
    </rPh>
    <rPh sb="8" eb="10">
      <t>カワゾ</t>
    </rPh>
    <rPh sb="12" eb="15">
      <t>カイソウロ</t>
    </rPh>
    <rPh sb="16" eb="17">
      <t>ツヅ</t>
    </rPh>
    <phoneticPr fontId="1"/>
  </si>
  <si>
    <t>橋を渡る。いよいよ足摺サニーロード。</t>
    <rPh sb="0" eb="1">
      <t>ハシ</t>
    </rPh>
    <rPh sb="2" eb="3">
      <t>ワタ</t>
    </rPh>
    <rPh sb="9" eb="11">
      <t>アシズリ</t>
    </rPh>
    <phoneticPr fontId="1"/>
  </si>
  <si>
    <t>国道439号</t>
    <rPh sb="0" eb="2">
      <t>コクドウ</t>
    </rPh>
    <rPh sb="5" eb="6">
      <t>ゴウ</t>
    </rPh>
    <phoneticPr fontId="1"/>
  </si>
  <si>
    <t>林道</t>
    <rPh sb="0" eb="2">
      <t>リンドウ</t>
    </rPh>
    <phoneticPr fontId="1"/>
  </si>
  <si>
    <t>国道九四フェリー降り場（四国側）</t>
    <rPh sb="0" eb="2">
      <t>コクドウ</t>
    </rPh>
    <rPh sb="2" eb="3">
      <t>キュウ</t>
    </rPh>
    <rPh sb="3" eb="4">
      <t>ヨン</t>
    </rPh>
    <rPh sb="8" eb="9">
      <t>オ</t>
    </rPh>
    <rPh sb="12" eb="15">
      <t>シコクガワ</t>
    </rPh>
    <phoneticPr fontId="1"/>
  </si>
  <si>
    <t>PC6 足摺岬　看板</t>
    <rPh sb="4" eb="7">
      <t>アシズリミサキ</t>
    </rPh>
    <rPh sb="8" eb="10">
      <t>カンバン</t>
    </rPh>
    <phoneticPr fontId="1"/>
  </si>
  <si>
    <t>PC7 江川崎郵便局</t>
    <rPh sb="4" eb="7">
      <t>エガワサキ</t>
    </rPh>
    <rPh sb="7" eb="10">
      <t>ユウビンキョク</t>
    </rPh>
    <phoneticPr fontId="1"/>
  </si>
  <si>
    <t>林道へ。そこそこアップダウンあります</t>
    <rPh sb="0" eb="2">
      <t>リンドウ</t>
    </rPh>
    <phoneticPr fontId="1"/>
  </si>
  <si>
    <t>国道439号に復帰。ひたすら四万十川沿いを走る</t>
    <rPh sb="0" eb="2">
      <t>コクドウ</t>
    </rPh>
    <rPh sb="5" eb="6">
      <t>ゴウ</t>
    </rPh>
    <rPh sb="7" eb="9">
      <t>フッキ</t>
    </rPh>
    <rPh sb="14" eb="19">
      <t>シマントガワゾ</t>
    </rPh>
    <rPh sb="21" eb="22">
      <t>ハシ</t>
    </rPh>
    <phoneticPr fontId="1"/>
  </si>
  <si>
    <t>ひたすら国道439号を走る</t>
    <rPh sb="4" eb="6">
      <t>コクドウ</t>
    </rPh>
    <rPh sb="9" eb="10">
      <t>ゴウ</t>
    </rPh>
    <rPh sb="11" eb="12">
      <t>ハシ</t>
    </rPh>
    <phoneticPr fontId="1"/>
  </si>
  <si>
    <t>気が付くと仁淀川沿いを走っています。</t>
    <rPh sb="0" eb="1">
      <t>キ</t>
    </rPh>
    <rPh sb="2" eb="3">
      <t>ツ</t>
    </rPh>
    <rPh sb="5" eb="8">
      <t>ニヨドガワ</t>
    </rPh>
    <rPh sb="8" eb="9">
      <t>ゾ</t>
    </rPh>
    <rPh sb="11" eb="12">
      <t>ハシ</t>
    </rPh>
    <phoneticPr fontId="1"/>
  </si>
  <si>
    <t>県道363号</t>
    <rPh sb="0" eb="2">
      <t>ケンドウ</t>
    </rPh>
    <rPh sb="5" eb="6">
      <t>ゴウ</t>
    </rPh>
    <phoneticPr fontId="1"/>
  </si>
  <si>
    <t>中津渓谷方面へ。いよいよ中津明神山アタック。</t>
    <rPh sb="0" eb="2">
      <t>ナカツ</t>
    </rPh>
    <rPh sb="2" eb="6">
      <t>ケイコクホウメン</t>
    </rPh>
    <rPh sb="12" eb="16">
      <t>ナカツミョウジン</t>
    </rPh>
    <rPh sb="16" eb="17">
      <t>ヤマ</t>
    </rPh>
    <phoneticPr fontId="1"/>
  </si>
  <si>
    <t>ここから激坂、ファイト！！</t>
    <rPh sb="4" eb="5">
      <t>ゲキ</t>
    </rPh>
    <rPh sb="5" eb="6">
      <t>サカ</t>
    </rPh>
    <phoneticPr fontId="1"/>
  </si>
  <si>
    <t>国道439号に復帰。これより快走路。</t>
    <rPh sb="0" eb="2">
      <t>コクドウ</t>
    </rPh>
    <rPh sb="5" eb="6">
      <t>ゴウ</t>
    </rPh>
    <rPh sb="7" eb="9">
      <t>フッキ</t>
    </rPh>
    <rPh sb="14" eb="17">
      <t>カイソウロ</t>
    </rPh>
    <phoneticPr fontId="1"/>
  </si>
  <si>
    <t>下り注意！！</t>
    <rPh sb="0" eb="1">
      <t>クダ</t>
    </rPh>
    <rPh sb="2" eb="4">
      <t>チュウイ</t>
    </rPh>
    <phoneticPr fontId="1"/>
  </si>
  <si>
    <t>観測所をバックに自転車の写真をとること。下り注意！！</t>
    <rPh sb="0" eb="3">
      <t>カンソクジョ</t>
    </rPh>
    <rPh sb="8" eb="11">
      <t>ジテンシャ</t>
    </rPh>
    <rPh sb="12" eb="14">
      <t>シャシン</t>
    </rPh>
    <rPh sb="20" eb="21">
      <t>クダ</t>
    </rPh>
    <rPh sb="22" eb="24">
      <t>チュウイ</t>
    </rPh>
    <phoneticPr fontId="1"/>
  </si>
  <si>
    <t>国道439号→国道494号</t>
    <rPh sb="0" eb="2">
      <t>コクドウ</t>
    </rPh>
    <rPh sb="5" eb="6">
      <t>ゴウ</t>
    </rPh>
    <rPh sb="7" eb="9">
      <t>コクドウ</t>
    </rPh>
    <rPh sb="12" eb="13">
      <t>ゴウ</t>
    </rPh>
    <phoneticPr fontId="1"/>
  </si>
  <si>
    <t>国道494号</t>
    <rPh sb="0" eb="2">
      <t>コクドウ</t>
    </rPh>
    <rPh sb="5" eb="6">
      <t>ゴウ</t>
    </rPh>
    <phoneticPr fontId="1"/>
  </si>
  <si>
    <t>直進は自転車禁止。見落とし注意！！</t>
    <rPh sb="0" eb="2">
      <t>チョクシン</t>
    </rPh>
    <rPh sb="3" eb="6">
      <t>ジテンシャ</t>
    </rPh>
    <rPh sb="6" eb="8">
      <t>キンシ</t>
    </rPh>
    <rPh sb="9" eb="11">
      <t>ミオ</t>
    </rPh>
    <rPh sb="13" eb="15">
      <t>チュウイ</t>
    </rPh>
    <phoneticPr fontId="1"/>
  </si>
  <si>
    <t>大きく右折</t>
    <rPh sb="0" eb="1">
      <t>オオ</t>
    </rPh>
    <rPh sb="3" eb="5">
      <t>ウセツ</t>
    </rPh>
    <phoneticPr fontId="1"/>
  </si>
  <si>
    <t>回り込むように右折</t>
    <rPh sb="0" eb="1">
      <t>マワ</t>
    </rPh>
    <rPh sb="2" eb="3">
      <t>コ</t>
    </rPh>
    <rPh sb="7" eb="9">
      <t>ウセツ</t>
    </rPh>
    <phoneticPr fontId="1"/>
  </si>
  <si>
    <t>この先緩い峠</t>
    <rPh sb="2" eb="3">
      <t>サキ</t>
    </rPh>
    <rPh sb="3" eb="4">
      <t>ユル</t>
    </rPh>
    <rPh sb="5" eb="6">
      <t>トウゲ</t>
    </rPh>
    <phoneticPr fontId="1"/>
  </si>
  <si>
    <t>土佐市甲原　S</t>
    <rPh sb="0" eb="3">
      <t>トサシ</t>
    </rPh>
    <rPh sb="3" eb="4">
      <t>コウ</t>
    </rPh>
    <rPh sb="4" eb="5">
      <t>ハラ</t>
    </rPh>
    <phoneticPr fontId="1"/>
  </si>
  <si>
    <t>土佐市北地　S</t>
    <rPh sb="0" eb="3">
      <t>トサシ</t>
    </rPh>
    <rPh sb="3" eb="4">
      <t>キタ</t>
    </rPh>
    <rPh sb="4" eb="5">
      <t>チ</t>
    </rPh>
    <phoneticPr fontId="1"/>
  </si>
  <si>
    <t>県道290号</t>
    <rPh sb="0" eb="2">
      <t>ケンドウ</t>
    </rPh>
    <rPh sb="5" eb="6">
      <t>ゴウ</t>
    </rPh>
    <phoneticPr fontId="1"/>
  </si>
  <si>
    <t>県道287号</t>
    <rPh sb="0" eb="2">
      <t>ケンドウ</t>
    </rPh>
    <rPh sb="5" eb="6">
      <t>ゴウ</t>
    </rPh>
    <phoneticPr fontId="1"/>
  </si>
  <si>
    <t>左側。レシート取得すること。</t>
    <rPh sb="0" eb="2">
      <t>ヒダリガワ</t>
    </rPh>
    <rPh sb="7" eb="9">
      <t>シュトク</t>
    </rPh>
    <phoneticPr fontId="1"/>
  </si>
  <si>
    <t>県道23号→県道14号</t>
    <rPh sb="0" eb="2">
      <t>ケンドウ</t>
    </rPh>
    <rPh sb="4" eb="5">
      <t>ゴウ</t>
    </rPh>
    <rPh sb="6" eb="8">
      <t>ケンドウ</t>
    </rPh>
    <rPh sb="10" eb="11">
      <t>ゴウ</t>
    </rPh>
    <phoneticPr fontId="1"/>
  </si>
  <si>
    <t>┣字路</t>
    <rPh sb="0" eb="3">
      <t>ケイセンジロ</t>
    </rPh>
    <phoneticPr fontId="1"/>
  </si>
  <si>
    <t>国道55号</t>
    <rPh sb="0" eb="2">
      <t>コクドウ</t>
    </rPh>
    <rPh sb="4" eb="5">
      <t>ゴウ</t>
    </rPh>
    <phoneticPr fontId="1"/>
  </si>
  <si>
    <t>┫字路S</t>
    <rPh sb="0" eb="3">
      <t>ケイセンジロ</t>
    </rPh>
    <phoneticPr fontId="1"/>
  </si>
  <si>
    <t>町道</t>
  </si>
  <si>
    <t>国道55号</t>
    <rPh sb="4" eb="5">
      <t>ゴウ</t>
    </rPh>
    <phoneticPr fontId="1"/>
  </si>
  <si>
    <t>室戸市浮津　S</t>
    <rPh sb="0" eb="3">
      <t>ムロトシ</t>
    </rPh>
    <rPh sb="3" eb="5">
      <t>ウキツ</t>
    </rPh>
    <phoneticPr fontId="1"/>
  </si>
  <si>
    <t>Y字路S</t>
    <rPh sb="1" eb="3">
      <t>ジロ</t>
    </rPh>
    <phoneticPr fontId="1"/>
  </si>
  <si>
    <t>左方向</t>
    <rPh sb="0" eb="3">
      <t>サホウコウ</t>
    </rPh>
    <phoneticPr fontId="1"/>
  </si>
  <si>
    <t>国道130号</t>
    <rPh sb="0" eb="2">
      <t>コクドウ</t>
    </rPh>
    <rPh sb="5" eb="6">
      <t>ゴウ</t>
    </rPh>
    <phoneticPr fontId="1"/>
  </si>
  <si>
    <t>大林北交差点　S</t>
    <rPh sb="0" eb="2">
      <t>オオバヤシ</t>
    </rPh>
    <rPh sb="2" eb="3">
      <t>キタ</t>
    </rPh>
    <rPh sb="3" eb="6">
      <t>コウサテン</t>
    </rPh>
    <phoneticPr fontId="1"/>
  </si>
  <si>
    <t>県道136号</t>
    <rPh sb="0" eb="2">
      <t>ケンドウ</t>
    </rPh>
    <rPh sb="5" eb="6">
      <t>ゴウ</t>
    </rPh>
    <phoneticPr fontId="1"/>
  </si>
  <si>
    <t>（ゴールPC）
ローソン徳島西須賀町店</t>
    <rPh sb="12" eb="14">
      <t>トクシマ</t>
    </rPh>
    <rPh sb="14" eb="15">
      <t>ニシ</t>
    </rPh>
    <rPh sb="15" eb="17">
      <t>スガ</t>
    </rPh>
    <rPh sb="17" eb="18">
      <t>マチ</t>
    </rPh>
    <rPh sb="18" eb="19">
      <t>ミセ</t>
    </rPh>
    <phoneticPr fontId="1"/>
  </si>
  <si>
    <t>県道136号→市道</t>
    <rPh sb="0" eb="2">
      <t>ケンドウ</t>
    </rPh>
    <rPh sb="5" eb="6">
      <t>ゴウ</t>
    </rPh>
    <rPh sb="7" eb="9">
      <t>シドウ</t>
    </rPh>
    <phoneticPr fontId="1"/>
  </si>
  <si>
    <t>高架沿いを走る。</t>
    <rPh sb="0" eb="2">
      <t>コウカ</t>
    </rPh>
    <rPh sb="2" eb="3">
      <t>ゾ</t>
    </rPh>
    <rPh sb="5" eb="6">
      <t>ハシ</t>
    </rPh>
    <phoneticPr fontId="1"/>
  </si>
  <si>
    <t>そのまま行くと歩道に入ってしまうので、国道にでる。</t>
    <rPh sb="4" eb="5">
      <t>イ</t>
    </rPh>
    <rPh sb="7" eb="9">
      <t>ホドウ</t>
    </rPh>
    <rPh sb="10" eb="11">
      <t>ハイ</t>
    </rPh>
    <rPh sb="19" eb="21">
      <t>コクドウ</t>
    </rPh>
    <phoneticPr fontId="1"/>
  </si>
  <si>
    <t>目印　看板『道の駅　大山』旧道へ。トンネル通行不可。</t>
    <rPh sb="0" eb="2">
      <t>メジルシ</t>
    </rPh>
    <rPh sb="3" eb="5">
      <t>カンバン</t>
    </rPh>
    <rPh sb="6" eb="7">
      <t>ミチ</t>
    </rPh>
    <rPh sb="8" eb="9">
      <t>エキ</t>
    </rPh>
    <rPh sb="10" eb="12">
      <t>オオヤマ</t>
    </rPh>
    <rPh sb="13" eb="15">
      <t>キュウドウ</t>
    </rPh>
    <rPh sb="21" eb="23">
      <t>ツウコウ</t>
    </rPh>
    <rPh sb="23" eb="25">
      <t>フカ</t>
    </rPh>
    <phoneticPr fontId="1"/>
  </si>
  <si>
    <t>国道55に合流</t>
    <rPh sb="0" eb="2">
      <t>コクドウ</t>
    </rPh>
    <rPh sb="5" eb="7">
      <t>ゴウリュウ</t>
    </rPh>
    <phoneticPr fontId="1"/>
  </si>
  <si>
    <t>阿南方面へ。</t>
    <rPh sb="0" eb="2">
      <t>アナン</t>
    </rPh>
    <rPh sb="2" eb="4">
      <t>ホウメン</t>
    </rPh>
    <phoneticPr fontId="1"/>
  </si>
  <si>
    <t>標識『徳島/那賀』方面へ</t>
  </si>
  <si>
    <t>ぼちぼち市街地です</t>
    <rPh sb="4" eb="6">
      <t>シガイ</t>
    </rPh>
    <rPh sb="6" eb="7">
      <t>チ</t>
    </rPh>
    <phoneticPr fontId="1"/>
  </si>
  <si>
    <t>交通量多し、気をつけてください</t>
    <rPh sb="0" eb="3">
      <t>コウツウリョウ</t>
    </rPh>
    <rPh sb="3" eb="4">
      <t>オオ</t>
    </rPh>
    <rPh sb="6" eb="7">
      <t>キ</t>
    </rPh>
    <phoneticPr fontId="1"/>
  </si>
  <si>
    <t>┣字路S</t>
    <rPh sb="0" eb="3">
      <t>ケイセンジロ</t>
    </rPh>
    <phoneticPr fontId="1"/>
  </si>
  <si>
    <t>県道14号</t>
    <rPh sb="0" eb="2">
      <t>ケンドウ</t>
    </rPh>
    <rPh sb="4" eb="5">
      <t>ゴウ</t>
    </rPh>
    <phoneticPr fontId="1"/>
  </si>
  <si>
    <t>11/8:30～11/9:00</t>
    <phoneticPr fontId="1"/>
  </si>
  <si>
    <t>11/16:33 ～12/04:37</t>
    <phoneticPr fontId="1"/>
  </si>
  <si>
    <t>サニーロードに復帰。国道321号線を
ひたすら走って四万十方面へ。</t>
    <rPh sb="7" eb="9">
      <t>フッキ</t>
    </rPh>
    <rPh sb="10" eb="12">
      <t>コクドウ</t>
    </rPh>
    <rPh sb="15" eb="16">
      <t>ゴウ</t>
    </rPh>
    <rPh sb="16" eb="17">
      <t>セン</t>
    </rPh>
    <rPh sb="23" eb="24">
      <t>ハシ</t>
    </rPh>
    <rPh sb="26" eb="29">
      <t>シマント</t>
    </rPh>
    <rPh sb="29" eb="31">
      <t>ホウメン</t>
    </rPh>
    <phoneticPr fontId="1"/>
  </si>
  <si>
    <t>幾分斜度が緩みますがそれでもきつい。
ただしばらく行くと景色最高です</t>
    <rPh sb="0" eb="2">
      <t>イクブン</t>
    </rPh>
    <rPh sb="2" eb="4">
      <t>シャド</t>
    </rPh>
    <rPh sb="5" eb="6">
      <t>ユル</t>
    </rPh>
    <rPh sb="25" eb="26">
      <t>イ</t>
    </rPh>
    <rPh sb="28" eb="30">
      <t>ケシキ</t>
    </rPh>
    <rPh sb="30" eb="32">
      <t>サイコウ</t>
    </rPh>
    <phoneticPr fontId="1"/>
  </si>
  <si>
    <t>12/5:45～13/13:37</t>
    <phoneticPr fontId="1"/>
  </si>
  <si>
    <t>12/12:18～14/5:59</t>
    <phoneticPr fontId="1"/>
  </si>
  <si>
    <t>12/21:02～15/3:50</t>
    <phoneticPr fontId="1"/>
  </si>
  <si>
    <t>RM811近畿1300km別府 -Japanesque- キューシート</t>
    <phoneticPr fontId="1"/>
  </si>
  <si>
    <t>PC3　ローソン延岡浜町店</t>
    <rPh sb="8" eb="10">
      <t>ノベオカ</t>
    </rPh>
    <rPh sb="10" eb="11">
      <t>ハマ</t>
    </rPh>
    <rPh sb="11" eb="12">
      <t>マチ</t>
    </rPh>
    <rPh sb="12" eb="13">
      <t>ミセ</t>
    </rPh>
    <phoneticPr fontId="1"/>
  </si>
  <si>
    <t>左側。レシート取得すること</t>
    <rPh sb="0" eb="2">
      <t>ヒダリガワ</t>
    </rPh>
    <rPh sb="7" eb="9">
      <t>シュトク</t>
    </rPh>
    <phoneticPr fontId="1"/>
  </si>
  <si>
    <t>江川崎郵便局をバックに自転車の写真を撮ること。
写真のプロパティを通過証明とします</t>
    <rPh sb="0" eb="3">
      <t>エガワサキ</t>
    </rPh>
    <rPh sb="3" eb="6">
      <t>ユウビンキョク</t>
    </rPh>
    <rPh sb="11" eb="14">
      <t>ジテンシャ</t>
    </rPh>
    <rPh sb="15" eb="17">
      <t>シャシン</t>
    </rPh>
    <rPh sb="18" eb="19">
      <t>ト</t>
    </rPh>
    <rPh sb="24" eb="26">
      <t>シャシン</t>
    </rPh>
    <rPh sb="33" eb="35">
      <t>ツウカ</t>
    </rPh>
    <rPh sb="35" eb="37">
      <t>ショウメイ</t>
    </rPh>
    <phoneticPr fontId="1"/>
  </si>
  <si>
    <t>足摺岬の看板をバックに自転車の写真を撮ること。
写真のプロパティを通過証明とします</t>
    <rPh sb="0" eb="2">
      <t>アシズリ</t>
    </rPh>
    <rPh sb="2" eb="3">
      <t>ミサキ</t>
    </rPh>
    <rPh sb="4" eb="6">
      <t>カンバン</t>
    </rPh>
    <rPh sb="11" eb="14">
      <t>ジテンシャ</t>
    </rPh>
    <rPh sb="15" eb="17">
      <t>シャシン</t>
    </rPh>
    <rPh sb="18" eb="19">
      <t>ト</t>
    </rPh>
    <phoneticPr fontId="1"/>
  </si>
  <si>
    <t>道の駅霧島神話の里公園看板をバックに自転車の
写真をとること</t>
    <rPh sb="0" eb="1">
      <t>ミチ</t>
    </rPh>
    <rPh sb="2" eb="3">
      <t>エキ</t>
    </rPh>
    <rPh sb="3" eb="5">
      <t>キリシマ</t>
    </rPh>
    <rPh sb="5" eb="7">
      <t>シンワ</t>
    </rPh>
    <rPh sb="8" eb="9">
      <t>サト</t>
    </rPh>
    <rPh sb="9" eb="11">
      <t>コウエン</t>
    </rPh>
    <rPh sb="11" eb="13">
      <t>カンバン</t>
    </rPh>
    <rPh sb="18" eb="21">
      <t>ジテンシャ</t>
    </rPh>
    <rPh sb="23" eb="25">
      <t>シャシン</t>
    </rPh>
    <phoneticPr fontId="1"/>
  </si>
  <si>
    <t>フェリー乗り場をバックに自転車の写真を撮ること
写真のプロパティを通過証明とします</t>
    <rPh sb="4" eb="5">
      <t>ノ</t>
    </rPh>
    <rPh sb="6" eb="7">
      <t>バ</t>
    </rPh>
    <rPh sb="12" eb="15">
      <t>ジテンシャ</t>
    </rPh>
    <rPh sb="16" eb="18">
      <t>シャシン</t>
    </rPh>
    <rPh sb="19" eb="20">
      <t>ト</t>
    </rPh>
    <phoneticPr fontId="1"/>
  </si>
  <si>
    <t>クジラ、中岡慎太郎像などをバックに自転車の写真を撮ること。写真のプロパティを通過証明とします。</t>
    <rPh sb="4" eb="10">
      <t>ナカオカシンタロウゾウ</t>
    </rPh>
    <rPh sb="17" eb="20">
      <t>ジテンシャ</t>
    </rPh>
    <rPh sb="21" eb="23">
      <t>シャシン</t>
    </rPh>
    <rPh sb="24" eb="25">
      <t>ト</t>
    </rPh>
    <rPh sb="29" eb="31">
      <t>シャシン</t>
    </rPh>
    <rPh sb="38" eb="42">
      <t>ツウカショウメイ</t>
    </rPh>
    <phoneticPr fontId="1"/>
  </si>
  <si>
    <t>的ケ浜公園　SPAビーチ　東屋</t>
    <rPh sb="0" eb="1">
      <t>マト</t>
    </rPh>
    <rPh sb="2" eb="3">
      <t>ハマ</t>
    </rPh>
    <rPh sb="3" eb="5">
      <t>コウエン</t>
    </rPh>
    <rPh sb="13" eb="15">
      <t>アズマヤ</t>
    </rPh>
    <phoneticPr fontId="1"/>
  </si>
  <si>
    <t>スタート地点
的ケ浜公園　SPAビーチ　東屋</t>
    <rPh sb="4" eb="6">
      <t>チテン</t>
    </rPh>
    <phoneticPr fontId="1"/>
  </si>
  <si>
    <t>通過チェック④（フォトコントロール）
道の駅霧島神話の里公園</t>
    <rPh sb="0" eb="2">
      <t>ツウカ</t>
    </rPh>
    <rPh sb="19" eb="20">
      <t>ミチ</t>
    </rPh>
    <rPh sb="21" eb="22">
      <t>エキ</t>
    </rPh>
    <rPh sb="22" eb="24">
      <t>キリシマ</t>
    </rPh>
    <rPh sb="24" eb="26">
      <t>シンワ</t>
    </rPh>
    <rPh sb="27" eb="28">
      <t>サト</t>
    </rPh>
    <rPh sb="28" eb="30">
      <t>コウエン</t>
    </rPh>
    <phoneticPr fontId="1"/>
  </si>
  <si>
    <t>通過チェック⑤
ローソン大月町弘見店</t>
    <rPh sb="12" eb="15">
      <t>オオツキマチ</t>
    </rPh>
    <rPh sb="15" eb="16">
      <t>ヒロシ</t>
    </rPh>
    <rPh sb="16" eb="17">
      <t>ケン</t>
    </rPh>
    <rPh sb="17" eb="18">
      <t>テン</t>
    </rPh>
    <phoneticPr fontId="1"/>
  </si>
  <si>
    <t>通過チェック⑥明神山レーダー雨量測量所</t>
  </si>
  <si>
    <t>PC6 足摺岬　看板</t>
  </si>
  <si>
    <t>PC8 ローソン　土佐宇佐北町</t>
    <rPh sb="9" eb="11">
      <t>トサ</t>
    </rPh>
    <rPh sb="11" eb="15">
      <t>ウサキタマチ</t>
    </rPh>
    <phoneticPr fontId="1"/>
  </si>
  <si>
    <t>PC9 室戸岬</t>
    <rPh sb="4" eb="7">
      <t>ムロトミサキ</t>
    </rPh>
    <phoneticPr fontId="1"/>
  </si>
  <si>
    <t>お疲れさまでした！！レシート取得すること。</t>
    <rPh sb="1" eb="2">
      <t>ツカ</t>
    </rPh>
    <rPh sb="14" eb="16">
      <t>シュトク</t>
    </rPh>
    <phoneticPr fontId="1"/>
  </si>
  <si>
    <t>13/0:13～15/11:48</t>
    <phoneticPr fontId="1"/>
  </si>
  <si>
    <t>通過チェック③（フォトコントロール）
高千穂神社</t>
    <phoneticPr fontId="1"/>
  </si>
  <si>
    <t>通過チェック⑥
明神山レーダー雨量測量所</t>
    <phoneticPr fontId="1"/>
  </si>
  <si>
    <t>12/4:02～13/9:22</t>
    <phoneticPr fontId="1"/>
  </si>
  <si>
    <t>11/19:07～12/11:00</t>
    <phoneticPr fontId="1"/>
  </si>
  <si>
    <t>12/2:07～13/4:32</t>
    <phoneticPr fontId="1"/>
  </si>
  <si>
    <t>12/14:59～14/12:43</t>
    <phoneticPr fontId="1"/>
  </si>
  <si>
    <t>水分峠を左折してひたすら直進。60.1キロ地点牧ノ戸峠。
そこから一気に下ります。</t>
    <rPh sb="0" eb="2">
      <t>ミズワケ</t>
    </rPh>
    <rPh sb="2" eb="3">
      <t>トウゲ</t>
    </rPh>
    <rPh sb="4" eb="6">
      <t>サセツ</t>
    </rPh>
    <rPh sb="12" eb="14">
      <t>チョクシン</t>
    </rPh>
    <rPh sb="21" eb="23">
      <t>チテン</t>
    </rPh>
    <rPh sb="23" eb="24">
      <t>マキ</t>
    </rPh>
    <rPh sb="25" eb="26">
      <t>ト</t>
    </rPh>
    <rPh sb="26" eb="27">
      <t>トウゲ</t>
    </rPh>
    <rPh sb="33" eb="35">
      <t>イッキ</t>
    </rPh>
    <rPh sb="36" eb="37">
      <t>クダ</t>
    </rPh>
    <phoneticPr fontId="1"/>
  </si>
  <si>
    <t>PC5　国道九四フェリー乗り場（九州側）</t>
    <phoneticPr fontId="1"/>
  </si>
  <si>
    <t>PC9 室戸岬</t>
  </si>
  <si>
    <t>13/4:09～15/20:50</t>
    <phoneticPr fontId="1"/>
  </si>
  <si>
    <t>PC8 ローソン　土佐宇佐町北店</t>
    <rPh sb="9" eb="11">
      <t>トサ</t>
    </rPh>
    <rPh sb="11" eb="13">
      <t>ウサ</t>
    </rPh>
    <rPh sb="13" eb="14">
      <t>チョウ</t>
    </rPh>
    <rPh sb="14" eb="15">
      <t>キタ</t>
    </rPh>
    <rPh sb="15" eb="16">
      <t>テン</t>
    </rPh>
    <phoneticPr fontId="1"/>
  </si>
  <si>
    <t>受付</t>
    <rPh sb="0" eb="2">
      <t>ウケツケ</t>
    </rPh>
    <phoneticPr fontId="1"/>
  </si>
  <si>
    <t>車検・ブリーフィング</t>
    <rPh sb="0" eb="2">
      <t>シャケン</t>
    </rPh>
    <phoneticPr fontId="1"/>
  </si>
  <si>
    <t>7:40～8:10</t>
    <phoneticPr fontId="1"/>
  </si>
  <si>
    <t>8:10～8：30</t>
    <phoneticPr fontId="1"/>
  </si>
  <si>
    <t>時間</t>
    <rPh sb="0" eb="2">
      <t>ジカン</t>
    </rPh>
    <phoneticPr fontId="1"/>
  </si>
  <si>
    <t>（ゴールPC）ローソン徳島西須賀町店</t>
    <rPh sb="11" eb="13">
      <t>トクシマ</t>
    </rPh>
    <rPh sb="13" eb="14">
      <t>ニシ</t>
    </rPh>
    <rPh sb="14" eb="16">
      <t>スガ</t>
    </rPh>
    <rPh sb="16" eb="17">
      <t>マチ</t>
    </rPh>
    <rPh sb="17" eb="18">
      <t>ミセ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</si>
</sst>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9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Meiryo UI"/>
      <family val="3"/>
      <charset val="128"/>
    </font>
    <font>
      <sz val="12"/>
      <color theme="1"/>
      <name val="Meiryo UI"/>
      <family val="3"/>
      <charset val="128"/>
    </font>
    <font>
      <b/>
      <sz val="12"/>
      <name val="Meiryo UI"/>
      <family val="3"/>
      <charset val="128"/>
    </font>
    <font>
      <b/>
      <sz val="12"/>
      <color theme="1"/>
      <name val="Meiryo UI"/>
      <family val="3"/>
      <charset val="128"/>
    </font>
    <font>
      <sz val="12"/>
      <color rgb="FFFF0000"/>
      <name val="Meiryo UI"/>
      <family val="3"/>
      <charset val="128"/>
    </font>
    <font>
      <sz val="16"/>
      <name val="Meiryo UI"/>
      <family val="3"/>
      <charset val="128"/>
    </font>
    <font>
      <b/>
      <sz val="12"/>
      <color rgb="FFFF0000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70">
    <xf numFmtId="0" fontId="0" fillId="0" borderId="0" xfId="0">
      <alignment vertical="center"/>
    </xf>
    <xf numFmtId="0" fontId="2" fillId="0" borderId="0" xfId="0" applyFont="1">
      <alignment vertical="center"/>
    </xf>
    <xf numFmtId="176" fontId="2" fillId="0" borderId="0" xfId="0" applyNumberFormat="1" applyFont="1" applyAlignment="1">
      <alignment horizontal="left" vertical="center"/>
    </xf>
    <xf numFmtId="176" fontId="2" fillId="0" borderId="0" xfId="0" applyNumberFormat="1" applyFont="1" applyAlignment="1">
      <alignment horizontal="right" vertical="center"/>
    </xf>
    <xf numFmtId="14" fontId="3" fillId="0" borderId="0" xfId="0" applyNumberFormat="1" applyFont="1">
      <alignment vertical="center"/>
    </xf>
    <xf numFmtId="0" fontId="3" fillId="0" borderId="0" xfId="0" applyFont="1">
      <alignment vertical="center"/>
    </xf>
    <xf numFmtId="0" fontId="2" fillId="0" borderId="1" xfId="0" applyFont="1" applyBorder="1">
      <alignment vertical="center"/>
    </xf>
    <xf numFmtId="0" fontId="2" fillId="0" borderId="2" xfId="0" applyFont="1" applyBorder="1">
      <alignment vertical="center"/>
    </xf>
    <xf numFmtId="176" fontId="2" fillId="0" borderId="2" xfId="0" applyNumberFormat="1" applyFont="1" applyBorder="1" applyAlignment="1">
      <alignment horizontal="left" vertical="center"/>
    </xf>
    <xf numFmtId="176" fontId="2" fillId="0" borderId="2" xfId="0" applyNumberFormat="1" applyFont="1" applyBorder="1" applyAlignment="1">
      <alignment horizontal="right" vertical="center"/>
    </xf>
    <xf numFmtId="0" fontId="3" fillId="0" borderId="2" xfId="0" applyFont="1" applyBorder="1">
      <alignment vertical="center"/>
    </xf>
    <xf numFmtId="0" fontId="2" fillId="0" borderId="3" xfId="0" applyFont="1" applyBorder="1" applyAlignment="1">
      <alignment horizontal="center" vertical="center" wrapText="1"/>
    </xf>
    <xf numFmtId="22" fontId="4" fillId="2" borderId="7" xfId="0" applyNumberFormat="1" applyFont="1" applyFill="1" applyBorder="1">
      <alignment vertical="center"/>
    </xf>
    <xf numFmtId="0" fontId="2" fillId="0" borderId="4" xfId="0" applyFont="1" applyBorder="1">
      <alignment vertical="center"/>
    </xf>
    <xf numFmtId="0" fontId="2" fillId="0" borderId="5" xfId="0" applyFont="1" applyBorder="1">
      <alignment vertical="center"/>
    </xf>
    <xf numFmtId="0" fontId="2" fillId="0" borderId="6" xfId="0" applyFont="1" applyBorder="1">
      <alignment vertical="center"/>
    </xf>
    <xf numFmtId="176" fontId="2" fillId="0" borderId="5" xfId="0" applyNumberFormat="1" applyFont="1" applyBorder="1" applyAlignment="1">
      <alignment horizontal="left" vertical="center"/>
    </xf>
    <xf numFmtId="176" fontId="2" fillId="0" borderId="6" xfId="0" applyNumberFormat="1" applyFont="1" applyBorder="1" applyAlignment="1">
      <alignment horizontal="right" vertical="center"/>
    </xf>
    <xf numFmtId="0" fontId="3" fillId="0" borderId="6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8" xfId="0" applyFont="1" applyBorder="1">
      <alignment vertical="center"/>
    </xf>
    <xf numFmtId="0" fontId="3" fillId="0" borderId="6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176" fontId="2" fillId="0" borderId="5" xfId="0" applyNumberFormat="1" applyFont="1" applyBorder="1" applyAlignment="1">
      <alignment horizontal="right" vertical="center"/>
    </xf>
    <xf numFmtId="0" fontId="3" fillId="0" borderId="5" xfId="0" applyFont="1" applyBorder="1" applyAlignment="1">
      <alignment vertical="center" wrapText="1"/>
    </xf>
    <xf numFmtId="176" fontId="2" fillId="0" borderId="9" xfId="0" applyNumberFormat="1" applyFont="1" applyBorder="1">
      <alignment vertical="center"/>
    </xf>
    <xf numFmtId="0" fontId="3" fillId="0" borderId="5" xfId="0" applyFont="1" applyBorder="1">
      <alignment vertical="center"/>
    </xf>
    <xf numFmtId="0" fontId="2" fillId="0" borderId="9" xfId="0" applyFont="1" applyBorder="1">
      <alignment vertical="center"/>
    </xf>
    <xf numFmtId="0" fontId="3" fillId="0" borderId="8" xfId="0" applyFont="1" applyBorder="1" applyAlignment="1">
      <alignment vertical="center" wrapText="1"/>
    </xf>
    <xf numFmtId="0" fontId="3" fillId="0" borderId="8" xfId="0" applyFont="1" applyBorder="1">
      <alignment vertical="center"/>
    </xf>
    <xf numFmtId="176" fontId="2" fillId="0" borderId="10" xfId="0" applyNumberFormat="1" applyFont="1" applyBorder="1">
      <alignment vertical="center"/>
    </xf>
    <xf numFmtId="0" fontId="2" fillId="0" borderId="9" xfId="0" applyFont="1" applyBorder="1" applyAlignment="1">
      <alignment vertical="center" wrapText="1"/>
    </xf>
    <xf numFmtId="176" fontId="2" fillId="0" borderId="0" xfId="0" applyNumberFormat="1" applyFont="1">
      <alignment vertical="center"/>
    </xf>
    <xf numFmtId="0" fontId="2" fillId="0" borderId="11" xfId="0" applyFont="1" applyBorder="1">
      <alignment vertical="center"/>
    </xf>
    <xf numFmtId="0" fontId="6" fillId="0" borderId="12" xfId="0" applyFont="1" applyBorder="1" applyAlignment="1">
      <alignment vertical="center" wrapText="1"/>
    </xf>
    <xf numFmtId="0" fontId="6" fillId="0" borderId="12" xfId="0" applyFont="1" applyBorder="1">
      <alignment vertical="center"/>
    </xf>
    <xf numFmtId="176" fontId="2" fillId="0" borderId="12" xfId="0" applyNumberFormat="1" applyFont="1" applyBorder="1" applyAlignment="1">
      <alignment horizontal="left" vertical="center"/>
    </xf>
    <xf numFmtId="176" fontId="2" fillId="0" borderId="12" xfId="0" applyNumberFormat="1" applyFont="1" applyBorder="1" applyAlignment="1">
      <alignment horizontal="right" vertical="center"/>
    </xf>
    <xf numFmtId="0" fontId="2" fillId="0" borderId="12" xfId="0" applyFont="1" applyBorder="1">
      <alignment vertical="center"/>
    </xf>
    <xf numFmtId="0" fontId="3" fillId="0" borderId="12" xfId="0" applyFont="1" applyBorder="1" applyAlignment="1">
      <alignment vertical="center" wrapText="1"/>
    </xf>
    <xf numFmtId="176" fontId="2" fillId="0" borderId="13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7" fillId="0" borderId="0" xfId="0" applyFont="1">
      <alignment vertical="center"/>
    </xf>
    <xf numFmtId="14" fontId="2" fillId="0" borderId="0" xfId="0" applyNumberFormat="1" applyFont="1" applyAlignment="1">
      <alignment horizontal="right" vertical="center"/>
    </xf>
    <xf numFmtId="0" fontId="2" fillId="0" borderId="8" xfId="0" applyFont="1" applyBorder="1" applyAlignment="1">
      <alignment vertical="center" wrapText="1"/>
    </xf>
    <xf numFmtId="0" fontId="4" fillId="2" borderId="4" xfId="0" applyFont="1" applyFill="1" applyBorder="1">
      <alignment vertical="center"/>
    </xf>
    <xf numFmtId="0" fontId="4" fillId="2" borderId="5" xfId="0" applyFont="1" applyFill="1" applyBorder="1">
      <alignment vertical="center"/>
    </xf>
    <xf numFmtId="0" fontId="4" fillId="2" borderId="6" xfId="0" applyFont="1" applyFill="1" applyBorder="1">
      <alignment vertical="center"/>
    </xf>
    <xf numFmtId="176" fontId="4" fillId="2" borderId="5" xfId="0" applyNumberFormat="1" applyFont="1" applyFill="1" applyBorder="1" applyAlignment="1">
      <alignment horizontal="left" vertical="center"/>
    </xf>
    <xf numFmtId="176" fontId="4" fillId="2" borderId="6" xfId="0" applyNumberFormat="1" applyFont="1" applyFill="1" applyBorder="1" applyAlignment="1">
      <alignment horizontal="right" vertical="center"/>
    </xf>
    <xf numFmtId="0" fontId="5" fillId="2" borderId="6" xfId="0" applyFont="1" applyFill="1" applyBorder="1">
      <alignment vertical="center"/>
    </xf>
    <xf numFmtId="0" fontId="4" fillId="2" borderId="5" xfId="0" applyFont="1" applyFill="1" applyBorder="1" applyAlignment="1">
      <alignment vertical="center" wrapText="1"/>
    </xf>
    <xf numFmtId="176" fontId="4" fillId="2" borderId="5" xfId="0" applyNumberFormat="1" applyFont="1" applyFill="1" applyBorder="1" applyAlignment="1">
      <alignment horizontal="right" vertical="center"/>
    </xf>
    <xf numFmtId="0" fontId="5" fillId="2" borderId="5" xfId="0" applyFont="1" applyFill="1" applyBorder="1" applyAlignment="1">
      <alignment vertical="center" wrapText="1"/>
    </xf>
    <xf numFmtId="176" fontId="4" fillId="2" borderId="9" xfId="0" applyNumberFormat="1" applyFont="1" applyFill="1" applyBorder="1">
      <alignment vertical="center"/>
    </xf>
    <xf numFmtId="0" fontId="5" fillId="2" borderId="5" xfId="0" applyFont="1" applyFill="1" applyBorder="1">
      <alignment vertical="center"/>
    </xf>
    <xf numFmtId="0" fontId="4" fillId="2" borderId="9" xfId="0" applyFont="1" applyFill="1" applyBorder="1">
      <alignment vertical="center"/>
    </xf>
    <xf numFmtId="0" fontId="5" fillId="2" borderId="8" xfId="0" applyFont="1" applyFill="1" applyBorder="1">
      <alignment vertical="center"/>
    </xf>
    <xf numFmtId="0" fontId="5" fillId="2" borderId="8" xfId="0" applyFont="1" applyFill="1" applyBorder="1" applyAlignment="1">
      <alignment vertical="center" wrapText="1"/>
    </xf>
    <xf numFmtId="0" fontId="4" fillId="2" borderId="8" xfId="0" applyFont="1" applyFill="1" applyBorder="1">
      <alignment vertical="center"/>
    </xf>
    <xf numFmtId="176" fontId="4" fillId="2" borderId="10" xfId="0" applyNumberFormat="1" applyFont="1" applyFill="1" applyBorder="1">
      <alignment vertical="center"/>
    </xf>
    <xf numFmtId="0" fontId="8" fillId="2" borderId="8" xfId="0" applyFont="1" applyFill="1" applyBorder="1">
      <alignment vertical="center"/>
    </xf>
    <xf numFmtId="176" fontId="5" fillId="2" borderId="10" xfId="0" applyNumberFormat="1" applyFont="1" applyFill="1" applyBorder="1">
      <alignment vertical="center"/>
    </xf>
    <xf numFmtId="0" fontId="4" fillId="0" borderId="5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 wrapText="1"/>
    </xf>
    <xf numFmtId="22" fontId="4" fillId="0" borderId="5" xfId="0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176" fontId="4" fillId="0" borderId="5" xfId="0" applyNumberFormat="1" applyFont="1" applyBorder="1" applyAlignment="1">
      <alignment horizontal="left" vertical="center"/>
    </xf>
    <xf numFmtId="176" fontId="5" fillId="0" borderId="5" xfId="0" applyNumberFormat="1" applyFont="1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124867</xdr:colOff>
      <xdr:row>144</xdr:row>
      <xdr:rowOff>96214</xdr:rowOff>
    </xdr:from>
    <xdr:to>
      <xdr:col>2</xdr:col>
      <xdr:colOff>519546</xdr:colOff>
      <xdr:row>160</xdr:row>
      <xdr:rowOff>13521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57E6641-D1B3-C0CF-CEFD-27DC95C0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67" y="40024244"/>
          <a:ext cx="4223921" cy="3150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19241</xdr:colOff>
      <xdr:row>144</xdr:row>
      <xdr:rowOff>86591</xdr:rowOff>
    </xdr:from>
    <xdr:to>
      <xdr:col>5</xdr:col>
      <xdr:colOff>344133</xdr:colOff>
      <xdr:row>159</xdr:row>
      <xdr:rowOff>173182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C60CE9A-C2AE-09EC-6478-F393B1C8D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8483" y="40014621"/>
          <a:ext cx="4154135" cy="3117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28862</xdr:colOff>
      <xdr:row>144</xdr:row>
      <xdr:rowOff>0</xdr:rowOff>
    </xdr:from>
    <xdr:to>
      <xdr:col>8</xdr:col>
      <xdr:colOff>279014</xdr:colOff>
      <xdr:row>160</xdr:row>
      <xdr:rowOff>23394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7F8F6516-031A-779D-E1FC-25F891CA2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9317" y="39928030"/>
          <a:ext cx="4339167" cy="3256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148428</xdr:colOff>
      <xdr:row>162</xdr:row>
      <xdr:rowOff>105834</xdr:rowOff>
    </xdr:from>
    <xdr:to>
      <xdr:col>1</xdr:col>
      <xdr:colOff>2144374</xdr:colOff>
      <xdr:row>179</xdr:row>
      <xdr:rowOff>94480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C241F50E-34F5-C116-930A-5DA5ABEBB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28" y="43670682"/>
          <a:ext cx="2582840" cy="3423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57964</xdr:colOff>
      <xdr:row>162</xdr:row>
      <xdr:rowOff>144318</xdr:rowOff>
    </xdr:from>
    <xdr:to>
      <xdr:col>5</xdr:col>
      <xdr:colOff>406387</xdr:colOff>
      <xdr:row>178</xdr:row>
      <xdr:rowOff>27130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9E68936C-1591-E371-D0C6-BD846E558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7014" y="45032468"/>
          <a:ext cx="4177473" cy="3134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39281</xdr:colOff>
      <xdr:row>182</xdr:row>
      <xdr:rowOff>115454</xdr:rowOff>
    </xdr:from>
    <xdr:to>
      <xdr:col>8</xdr:col>
      <xdr:colOff>99783</xdr:colOff>
      <xdr:row>197</xdr:row>
      <xdr:rowOff>163561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9C99511A-730A-5CBE-D378-D12857447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8599" y="48529393"/>
          <a:ext cx="4120654" cy="3078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24174</xdr:rowOff>
    </xdr:from>
    <xdr:to>
      <xdr:col>2</xdr:col>
      <xdr:colOff>388774</xdr:colOff>
      <xdr:row>197</xdr:row>
      <xdr:rowOff>134697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583075D-6EE3-B17A-4C17-CA45BF92A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438113"/>
          <a:ext cx="4218016" cy="3141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85663</xdr:colOff>
      <xdr:row>182</xdr:row>
      <xdr:rowOff>67349</xdr:rowOff>
    </xdr:from>
    <xdr:to>
      <xdr:col>5</xdr:col>
      <xdr:colOff>369996</xdr:colOff>
      <xdr:row>197</xdr:row>
      <xdr:rowOff>105835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6FEECC33-E416-A5E3-6E62-973A3C2F0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4905" y="48481288"/>
          <a:ext cx="4113576" cy="3069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37191</xdr:colOff>
      <xdr:row>163</xdr:row>
      <xdr:rowOff>0</xdr:rowOff>
    </xdr:from>
    <xdr:to>
      <xdr:col>8</xdr:col>
      <xdr:colOff>119642</xdr:colOff>
      <xdr:row>177</xdr:row>
      <xdr:rowOff>124070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D318870-8978-CB5D-F318-3A5174D25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06509" y="44575076"/>
          <a:ext cx="4142603" cy="2952706"/>
        </a:xfrm>
        <a:prstGeom prst="rect">
          <a:avLst/>
        </a:prstGeom>
      </xdr:spPr>
    </xdr:pic>
    <xdr:clientData/>
  </xdr:twoCellAnchor>
  <xdr:twoCellAnchor editAs="oneCell">
    <xdr:from>
      <xdr:col>0</xdr:col>
      <xdr:colOff>38486</xdr:colOff>
      <xdr:row>199</xdr:row>
      <xdr:rowOff>191048</xdr:rowOff>
    </xdr:from>
    <xdr:to>
      <xdr:col>2</xdr:col>
      <xdr:colOff>414954</xdr:colOff>
      <xdr:row>215</xdr:row>
      <xdr:rowOff>105835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338FF74-BC02-92AA-81FD-024B90F50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6" y="52039760"/>
          <a:ext cx="4205710" cy="3147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923DD-8B4D-4246-94B7-285BB4576A80}">
  <sheetPr>
    <pageSetUpPr fitToPage="1"/>
  </sheetPr>
  <dimension ref="A1:R201"/>
  <sheetViews>
    <sheetView tabSelected="1" topLeftCell="B129" zoomScale="66" zoomScaleNormal="66" zoomScaleSheetLayoutView="100" workbookViewId="0">
      <selection activeCell="I140" sqref="I140"/>
    </sheetView>
  </sheetViews>
  <sheetFormatPr defaultColWidth="7.81640625" defaultRowHeight="16" x14ac:dyDescent="0.2"/>
  <cols>
    <col min="1" max="1" width="8.36328125" style="1" customWidth="1"/>
    <col min="2" max="2" width="46.453125" style="1" customWidth="1"/>
    <col min="3" max="3" width="18.1796875" style="1" customWidth="1"/>
    <col min="4" max="4" width="46.6328125" style="1" customWidth="1"/>
    <col min="5" max="5" width="8.1796875" style="2" customWidth="1"/>
    <col min="6" max="6" width="10.1796875" style="3" customWidth="1"/>
    <col min="7" max="7" width="0.36328125" style="1" customWidth="1"/>
    <col min="8" max="8" width="58.08984375" style="5" customWidth="1"/>
    <col min="9" max="9" width="29.08984375" style="1" customWidth="1"/>
    <col min="10" max="10" width="7.81640625" style="1" customWidth="1"/>
    <col min="11" max="16384" width="7.81640625" style="1"/>
  </cols>
  <sheetData>
    <row r="1" spans="1:9" ht="22" x14ac:dyDescent="0.2">
      <c r="A1" s="43" t="s">
        <v>210</v>
      </c>
      <c r="H1" s="4"/>
      <c r="I1" s="44">
        <f ca="1">TODAY()</f>
        <v>45140</v>
      </c>
    </row>
    <row r="2" spans="1:9" ht="16.5" thickBot="1" x14ac:dyDescent="0.25"/>
    <row r="3" spans="1:9" ht="21.75" customHeight="1" thickBot="1" x14ac:dyDescent="0.25">
      <c r="A3" s="6"/>
      <c r="B3" s="7" t="s">
        <v>0</v>
      </c>
      <c r="C3" s="7" t="s">
        <v>1</v>
      </c>
      <c r="D3" s="7" t="s">
        <v>2</v>
      </c>
      <c r="E3" s="8" t="s">
        <v>3</v>
      </c>
      <c r="F3" s="9" t="s">
        <v>4</v>
      </c>
      <c r="G3" s="7"/>
      <c r="H3" s="10" t="s">
        <v>5</v>
      </c>
      <c r="I3" s="11" t="s">
        <v>6</v>
      </c>
    </row>
    <row r="4" spans="1:9" ht="20" customHeight="1" thickTop="1" x14ac:dyDescent="0.2">
      <c r="A4" s="46">
        <v>1</v>
      </c>
      <c r="B4" s="47" t="s">
        <v>218</v>
      </c>
      <c r="C4" s="48" t="s">
        <v>7</v>
      </c>
      <c r="D4" s="48" t="s">
        <v>10</v>
      </c>
      <c r="E4" s="49">
        <v>0</v>
      </c>
      <c r="F4" s="50">
        <v>0</v>
      </c>
      <c r="G4" s="48"/>
      <c r="H4" s="51" t="s">
        <v>23</v>
      </c>
      <c r="I4" s="12" t="s">
        <v>203</v>
      </c>
    </row>
    <row r="5" spans="1:9" ht="20" customHeight="1" x14ac:dyDescent="0.2">
      <c r="A5" s="13">
        <f>A4+1</f>
        <v>2</v>
      </c>
      <c r="B5" s="14" t="s">
        <v>24</v>
      </c>
      <c r="C5" s="15" t="s">
        <v>8</v>
      </c>
      <c r="D5" s="15" t="s">
        <v>25</v>
      </c>
      <c r="E5" s="16">
        <f>F5-F4</f>
        <v>0.2</v>
      </c>
      <c r="F5" s="17">
        <v>0.2</v>
      </c>
      <c r="G5" s="15"/>
      <c r="H5" s="18" t="s">
        <v>28</v>
      </c>
      <c r="I5" s="19"/>
    </row>
    <row r="6" spans="1:9" ht="42.5" customHeight="1" x14ac:dyDescent="0.2">
      <c r="A6" s="13">
        <f>A5+1</f>
        <v>3</v>
      </c>
      <c r="B6" s="20" t="s">
        <v>26</v>
      </c>
      <c r="C6" s="15" t="s">
        <v>8</v>
      </c>
      <c r="D6" s="15" t="s">
        <v>27</v>
      </c>
      <c r="E6" s="16">
        <f t="shared" ref="E6:E105" si="0">F6-F5</f>
        <v>5.2</v>
      </c>
      <c r="F6" s="17">
        <v>5.4</v>
      </c>
      <c r="G6" s="15"/>
      <c r="H6" s="21" t="s">
        <v>33</v>
      </c>
      <c r="I6" s="19"/>
    </row>
    <row r="7" spans="1:9" ht="20" customHeight="1" x14ac:dyDescent="0.2">
      <c r="A7" s="13">
        <f t="shared" ref="A7:A71" si="1">A6+1</f>
        <v>4</v>
      </c>
      <c r="B7" s="14" t="s">
        <v>29</v>
      </c>
      <c r="C7" s="14" t="s">
        <v>8</v>
      </c>
      <c r="D7" s="14" t="s">
        <v>27</v>
      </c>
      <c r="E7" s="16">
        <f t="shared" si="0"/>
        <v>20.799999999999997</v>
      </c>
      <c r="F7" s="23">
        <v>26.2</v>
      </c>
      <c r="G7" s="14"/>
      <c r="H7" s="24"/>
      <c r="I7" s="27"/>
    </row>
    <row r="8" spans="1:9" ht="43.5" customHeight="1" x14ac:dyDescent="0.2">
      <c r="A8" s="46">
        <f t="shared" si="1"/>
        <v>5</v>
      </c>
      <c r="B8" s="52" t="s">
        <v>30</v>
      </c>
      <c r="C8" s="47" t="s">
        <v>8</v>
      </c>
      <c r="D8" s="47" t="s">
        <v>32</v>
      </c>
      <c r="E8" s="49">
        <f t="shared" si="0"/>
        <v>0.19999999999999929</v>
      </c>
      <c r="F8" s="53">
        <v>26.4</v>
      </c>
      <c r="G8" s="47"/>
      <c r="H8" s="54" t="s">
        <v>31</v>
      </c>
      <c r="I8" s="55"/>
    </row>
    <row r="9" spans="1:9" ht="45" customHeight="1" x14ac:dyDescent="0.2">
      <c r="A9" s="13">
        <f t="shared" si="1"/>
        <v>6</v>
      </c>
      <c r="B9" s="14" t="s">
        <v>34</v>
      </c>
      <c r="C9" s="14" t="s">
        <v>8</v>
      </c>
      <c r="D9" s="14" t="s">
        <v>35</v>
      </c>
      <c r="E9" s="16">
        <f t="shared" si="0"/>
        <v>4</v>
      </c>
      <c r="F9" s="23">
        <v>30.4</v>
      </c>
      <c r="G9" s="14"/>
      <c r="H9" s="24" t="s">
        <v>234</v>
      </c>
      <c r="I9" s="27"/>
    </row>
    <row r="10" spans="1:9" ht="20" customHeight="1" x14ac:dyDescent="0.2">
      <c r="A10" s="13">
        <f t="shared" si="1"/>
        <v>7</v>
      </c>
      <c r="B10" s="14" t="s">
        <v>12</v>
      </c>
      <c r="C10" s="14" t="s">
        <v>8</v>
      </c>
      <c r="D10" s="15" t="s">
        <v>36</v>
      </c>
      <c r="E10" s="16">
        <f t="shared" si="0"/>
        <v>55.000000000000007</v>
      </c>
      <c r="F10" s="23">
        <v>85.4</v>
      </c>
      <c r="G10" s="14"/>
      <c r="H10" s="26" t="s">
        <v>37</v>
      </c>
      <c r="I10" s="27"/>
    </row>
    <row r="11" spans="1:9" ht="20" customHeight="1" x14ac:dyDescent="0.2">
      <c r="A11" s="13">
        <f t="shared" si="1"/>
        <v>8</v>
      </c>
      <c r="B11" s="14" t="s">
        <v>14</v>
      </c>
      <c r="C11" s="14" t="s">
        <v>8</v>
      </c>
      <c r="D11" s="15" t="s">
        <v>38</v>
      </c>
      <c r="E11" s="16">
        <f t="shared" si="0"/>
        <v>13.899999999999991</v>
      </c>
      <c r="F11" s="23">
        <v>99.3</v>
      </c>
      <c r="G11" s="14"/>
      <c r="H11" s="26"/>
      <c r="I11" s="27"/>
    </row>
    <row r="12" spans="1:9" ht="39" customHeight="1" x14ac:dyDescent="0.2">
      <c r="A12" s="46">
        <f t="shared" si="1"/>
        <v>9</v>
      </c>
      <c r="B12" s="52" t="s">
        <v>39</v>
      </c>
      <c r="C12" s="47" t="s">
        <v>15</v>
      </c>
      <c r="D12" s="48" t="s">
        <v>40</v>
      </c>
      <c r="E12" s="49">
        <f t="shared" si="0"/>
        <v>0.60000000000000853</v>
      </c>
      <c r="F12" s="53">
        <v>99.9</v>
      </c>
      <c r="G12" s="47"/>
      <c r="H12" s="54" t="s">
        <v>41</v>
      </c>
      <c r="I12" s="55"/>
    </row>
    <row r="13" spans="1:9" ht="20" customHeight="1" x14ac:dyDescent="0.2">
      <c r="A13" s="13">
        <f t="shared" si="1"/>
        <v>10</v>
      </c>
      <c r="B13" s="20" t="s">
        <v>16</v>
      </c>
      <c r="C13" s="14" t="s">
        <v>8</v>
      </c>
      <c r="D13" s="15" t="s">
        <v>43</v>
      </c>
      <c r="E13" s="16">
        <f t="shared" si="0"/>
        <v>0.59999999999999432</v>
      </c>
      <c r="F13" s="23">
        <v>100.5</v>
      </c>
      <c r="G13" s="14"/>
      <c r="H13" s="26" t="s">
        <v>42</v>
      </c>
      <c r="I13" s="27"/>
    </row>
    <row r="14" spans="1:9" ht="20" customHeight="1" x14ac:dyDescent="0.2">
      <c r="A14" s="13">
        <f t="shared" si="1"/>
        <v>11</v>
      </c>
      <c r="B14" s="14" t="s">
        <v>16</v>
      </c>
      <c r="C14" s="14" t="s">
        <v>8</v>
      </c>
      <c r="D14" s="15" t="s">
        <v>43</v>
      </c>
      <c r="E14" s="16">
        <f t="shared" si="0"/>
        <v>13.900000000000006</v>
      </c>
      <c r="F14" s="23">
        <v>114.4</v>
      </c>
      <c r="G14" s="14"/>
      <c r="H14" s="24" t="s">
        <v>45</v>
      </c>
      <c r="I14" s="27"/>
    </row>
    <row r="15" spans="1:9" ht="20" customHeight="1" x14ac:dyDescent="0.2">
      <c r="A15" s="13">
        <f t="shared" si="1"/>
        <v>12</v>
      </c>
      <c r="B15" s="14" t="s">
        <v>44</v>
      </c>
      <c r="C15" s="14" t="s">
        <v>8</v>
      </c>
      <c r="D15" s="15" t="s">
        <v>47</v>
      </c>
      <c r="E15" s="16">
        <f t="shared" si="0"/>
        <v>5.2999999999999972</v>
      </c>
      <c r="F15" s="23">
        <v>119.7</v>
      </c>
      <c r="G15" s="14"/>
      <c r="H15" s="24" t="s">
        <v>46</v>
      </c>
      <c r="I15" s="27"/>
    </row>
    <row r="16" spans="1:9" ht="20" customHeight="1" x14ac:dyDescent="0.2">
      <c r="A16" s="13">
        <f t="shared" si="1"/>
        <v>13</v>
      </c>
      <c r="B16" s="14" t="s">
        <v>48</v>
      </c>
      <c r="C16" s="14" t="s">
        <v>9</v>
      </c>
      <c r="D16" s="14" t="s">
        <v>49</v>
      </c>
      <c r="E16" s="16">
        <f t="shared" si="0"/>
        <v>27.200000000000003</v>
      </c>
      <c r="F16" s="23">
        <v>146.9</v>
      </c>
      <c r="G16" s="14"/>
      <c r="H16" s="26"/>
      <c r="I16" s="27"/>
    </row>
    <row r="17" spans="1:9" ht="20" customHeight="1" x14ac:dyDescent="0.2">
      <c r="A17" s="13">
        <f t="shared" si="1"/>
        <v>14</v>
      </c>
      <c r="B17" s="14" t="s">
        <v>50</v>
      </c>
      <c r="C17" s="14" t="s">
        <v>8</v>
      </c>
      <c r="D17" s="14" t="s">
        <v>51</v>
      </c>
      <c r="E17" s="16">
        <f t="shared" si="0"/>
        <v>0.29999999999998295</v>
      </c>
      <c r="F17" s="23">
        <v>147.19999999999999</v>
      </c>
      <c r="G17" s="14"/>
      <c r="H17" s="26" t="s">
        <v>53</v>
      </c>
      <c r="I17" s="27"/>
    </row>
    <row r="18" spans="1:9" ht="20" customHeight="1" x14ac:dyDescent="0.2">
      <c r="A18" s="13">
        <f t="shared" si="1"/>
        <v>15</v>
      </c>
      <c r="B18" s="26" t="s">
        <v>52</v>
      </c>
      <c r="C18" s="28" t="s">
        <v>9</v>
      </c>
      <c r="D18" s="29" t="s">
        <v>51</v>
      </c>
      <c r="E18" s="16">
        <f t="shared" si="0"/>
        <v>0.40000000000000568</v>
      </c>
      <c r="F18" s="23">
        <v>147.6</v>
      </c>
      <c r="G18" s="14"/>
      <c r="H18" s="26"/>
      <c r="I18" s="27"/>
    </row>
    <row r="19" spans="1:9" ht="33.5" customHeight="1" x14ac:dyDescent="0.2">
      <c r="A19" s="46">
        <f t="shared" si="1"/>
        <v>16</v>
      </c>
      <c r="B19" s="52" t="s">
        <v>228</v>
      </c>
      <c r="C19" s="47" t="s">
        <v>9</v>
      </c>
      <c r="D19" s="47" t="s">
        <v>51</v>
      </c>
      <c r="E19" s="49">
        <f t="shared" si="0"/>
        <v>0.5</v>
      </c>
      <c r="F19" s="53">
        <v>148.1</v>
      </c>
      <c r="G19" s="47"/>
      <c r="H19" s="56" t="s">
        <v>55</v>
      </c>
      <c r="I19" s="57"/>
    </row>
    <row r="20" spans="1:9" ht="20" customHeight="1" x14ac:dyDescent="0.2">
      <c r="A20" s="13">
        <f t="shared" si="1"/>
        <v>17</v>
      </c>
      <c r="B20" s="29" t="s">
        <v>17</v>
      </c>
      <c r="C20" s="29" t="s">
        <v>8</v>
      </c>
      <c r="D20" s="29" t="s">
        <v>49</v>
      </c>
      <c r="E20" s="16">
        <f t="shared" si="0"/>
        <v>0.30000000000001137</v>
      </c>
      <c r="F20" s="23">
        <v>148.4</v>
      </c>
      <c r="G20" s="14"/>
      <c r="H20" s="29" t="s">
        <v>56</v>
      </c>
      <c r="I20" s="27"/>
    </row>
    <row r="21" spans="1:9" ht="20" customHeight="1" x14ac:dyDescent="0.2">
      <c r="A21" s="13">
        <f t="shared" si="1"/>
        <v>18</v>
      </c>
      <c r="B21" s="29" t="s">
        <v>57</v>
      </c>
      <c r="C21" s="29" t="s">
        <v>8</v>
      </c>
      <c r="D21" s="29" t="s">
        <v>58</v>
      </c>
      <c r="E21" s="16">
        <f t="shared" si="0"/>
        <v>37</v>
      </c>
      <c r="F21" s="23">
        <v>185.4</v>
      </c>
      <c r="G21" s="14"/>
      <c r="H21" s="28" t="s">
        <v>59</v>
      </c>
      <c r="I21" s="25"/>
    </row>
    <row r="22" spans="1:9" ht="20" customHeight="1" x14ac:dyDescent="0.2">
      <c r="A22" s="13">
        <f t="shared" si="1"/>
        <v>19</v>
      </c>
      <c r="B22" s="26" t="s">
        <v>16</v>
      </c>
      <c r="C22" s="29" t="s">
        <v>9</v>
      </c>
      <c r="D22" s="29" t="s">
        <v>38</v>
      </c>
      <c r="E22" s="16">
        <f t="shared" si="0"/>
        <v>0.29999999999998295</v>
      </c>
      <c r="F22" s="23">
        <v>185.7</v>
      </c>
      <c r="G22" s="14"/>
      <c r="H22" s="29"/>
      <c r="I22" s="25"/>
    </row>
    <row r="23" spans="1:9" ht="20" customHeight="1" x14ac:dyDescent="0.2">
      <c r="A23" s="13">
        <f t="shared" si="1"/>
        <v>20</v>
      </c>
      <c r="B23" s="26" t="s">
        <v>16</v>
      </c>
      <c r="C23" s="29" t="s">
        <v>8</v>
      </c>
      <c r="D23" s="29" t="s">
        <v>38</v>
      </c>
      <c r="E23" s="16">
        <f t="shared" si="0"/>
        <v>0.60000000000002274</v>
      </c>
      <c r="F23" s="23">
        <v>186.3</v>
      </c>
      <c r="G23" s="14"/>
      <c r="H23" s="29"/>
      <c r="I23" s="25"/>
    </row>
    <row r="24" spans="1:9" ht="20" customHeight="1" x14ac:dyDescent="0.2">
      <c r="A24" s="13">
        <f t="shared" si="1"/>
        <v>21</v>
      </c>
      <c r="B24" s="29" t="s">
        <v>60</v>
      </c>
      <c r="C24" s="29" t="s">
        <v>8</v>
      </c>
      <c r="D24" s="29" t="s">
        <v>62</v>
      </c>
      <c r="E24" s="16">
        <f t="shared" si="0"/>
        <v>0.29999999999998295</v>
      </c>
      <c r="F24" s="23">
        <v>186.6</v>
      </c>
      <c r="G24" s="14"/>
      <c r="H24" s="28" t="s">
        <v>61</v>
      </c>
      <c r="I24" s="25"/>
    </row>
    <row r="25" spans="1:9" ht="20" customHeight="1" x14ac:dyDescent="0.2">
      <c r="A25" s="13">
        <f t="shared" si="1"/>
        <v>22</v>
      </c>
      <c r="B25" s="26" t="s">
        <v>63</v>
      </c>
      <c r="C25" s="29" t="s">
        <v>9</v>
      </c>
      <c r="D25" s="29" t="s">
        <v>38</v>
      </c>
      <c r="E25" s="16">
        <f t="shared" si="0"/>
        <v>0.30000000000001137</v>
      </c>
      <c r="F25" s="23">
        <v>186.9</v>
      </c>
      <c r="G25" s="14"/>
      <c r="H25" s="28"/>
      <c r="I25" s="25"/>
    </row>
    <row r="26" spans="1:9" ht="20" customHeight="1" x14ac:dyDescent="0.2">
      <c r="A26" s="13">
        <f t="shared" si="1"/>
        <v>23</v>
      </c>
      <c r="B26" s="29" t="s">
        <v>16</v>
      </c>
      <c r="C26" s="29" t="s">
        <v>8</v>
      </c>
      <c r="D26" s="29" t="s">
        <v>38</v>
      </c>
      <c r="E26" s="16">
        <f t="shared" si="0"/>
        <v>0.69999999999998863</v>
      </c>
      <c r="F26" s="23">
        <v>187.6</v>
      </c>
      <c r="G26" s="14"/>
      <c r="H26" s="28"/>
      <c r="I26" s="25"/>
    </row>
    <row r="27" spans="1:9" ht="20" customHeight="1" x14ac:dyDescent="0.2">
      <c r="A27" s="13">
        <f t="shared" si="1"/>
        <v>24</v>
      </c>
      <c r="B27" s="29" t="s">
        <v>16</v>
      </c>
      <c r="C27" s="29" t="s">
        <v>8</v>
      </c>
      <c r="D27" s="29" t="s">
        <v>65</v>
      </c>
      <c r="E27" s="16">
        <f t="shared" si="0"/>
        <v>2</v>
      </c>
      <c r="F27" s="23">
        <v>189.6</v>
      </c>
      <c r="G27" s="14"/>
      <c r="H27" s="28"/>
      <c r="I27" s="25"/>
    </row>
    <row r="28" spans="1:9" ht="20" customHeight="1" x14ac:dyDescent="0.2">
      <c r="A28" s="13">
        <f t="shared" si="1"/>
        <v>25</v>
      </c>
      <c r="B28" s="29" t="s">
        <v>12</v>
      </c>
      <c r="C28" s="29" t="s">
        <v>8</v>
      </c>
      <c r="D28" s="29" t="s">
        <v>64</v>
      </c>
      <c r="E28" s="16">
        <f t="shared" si="0"/>
        <v>18.300000000000011</v>
      </c>
      <c r="F28" s="23">
        <v>207.9</v>
      </c>
      <c r="G28" s="14"/>
      <c r="H28" s="28"/>
      <c r="I28" s="25"/>
    </row>
    <row r="29" spans="1:9" ht="20" customHeight="1" x14ac:dyDescent="0.2">
      <c r="A29" s="13">
        <f t="shared" si="1"/>
        <v>26</v>
      </c>
      <c r="B29" s="29" t="s">
        <v>66</v>
      </c>
      <c r="C29" s="29" t="s">
        <v>9</v>
      </c>
      <c r="D29" s="29" t="s">
        <v>64</v>
      </c>
      <c r="E29" s="16">
        <f t="shared" si="0"/>
        <v>19</v>
      </c>
      <c r="F29" s="23">
        <v>226.9</v>
      </c>
      <c r="G29" s="14"/>
      <c r="H29" s="28"/>
      <c r="I29" s="30"/>
    </row>
    <row r="30" spans="1:9" ht="20" customHeight="1" x14ac:dyDescent="0.2">
      <c r="A30" s="13">
        <f t="shared" si="1"/>
        <v>27</v>
      </c>
      <c r="B30" s="29" t="s">
        <v>19</v>
      </c>
      <c r="C30" s="29" t="s">
        <v>8</v>
      </c>
      <c r="D30" s="29" t="s">
        <v>67</v>
      </c>
      <c r="E30" s="16">
        <f t="shared" si="0"/>
        <v>3.6999999999999886</v>
      </c>
      <c r="F30" s="23">
        <v>230.6</v>
      </c>
      <c r="G30" s="14"/>
      <c r="H30" s="28"/>
      <c r="I30" s="27"/>
    </row>
    <row r="31" spans="1:9" ht="20" customHeight="1" x14ac:dyDescent="0.2">
      <c r="A31" s="13">
        <f t="shared" si="1"/>
        <v>28</v>
      </c>
      <c r="B31" s="29" t="s">
        <v>22</v>
      </c>
      <c r="C31" s="29" t="s">
        <v>13</v>
      </c>
      <c r="D31" s="29" t="s">
        <v>69</v>
      </c>
      <c r="E31" s="16">
        <f t="shared" si="0"/>
        <v>8.8000000000000114</v>
      </c>
      <c r="F31" s="23">
        <v>239.4</v>
      </c>
      <c r="G31" s="14"/>
      <c r="H31" s="28" t="s">
        <v>68</v>
      </c>
      <c r="I31" s="25"/>
    </row>
    <row r="32" spans="1:9" ht="20" customHeight="1" x14ac:dyDescent="0.2">
      <c r="A32" s="13">
        <f t="shared" si="1"/>
        <v>29</v>
      </c>
      <c r="B32" s="29" t="s">
        <v>70</v>
      </c>
      <c r="C32" s="29" t="s">
        <v>9</v>
      </c>
      <c r="D32" s="29" t="s">
        <v>11</v>
      </c>
      <c r="E32" s="16">
        <f t="shared" si="0"/>
        <v>1.0999999999999943</v>
      </c>
      <c r="F32" s="23">
        <v>240.5</v>
      </c>
      <c r="G32" s="14"/>
      <c r="H32" s="29"/>
      <c r="I32" s="27"/>
    </row>
    <row r="33" spans="1:18" ht="20" customHeight="1" x14ac:dyDescent="0.2">
      <c r="A33" s="13">
        <f t="shared" si="1"/>
        <v>30</v>
      </c>
      <c r="B33" s="14" t="s">
        <v>18</v>
      </c>
      <c r="C33" s="29" t="s">
        <v>8</v>
      </c>
      <c r="D33" s="29" t="s">
        <v>11</v>
      </c>
      <c r="E33" s="16">
        <f t="shared" si="0"/>
        <v>9.9999999999994316E-2</v>
      </c>
      <c r="F33" s="23">
        <v>240.6</v>
      </c>
      <c r="G33" s="14"/>
      <c r="H33" s="29"/>
      <c r="I33" s="27"/>
    </row>
    <row r="34" spans="1:18" ht="20" customHeight="1" x14ac:dyDescent="0.2">
      <c r="A34" s="46">
        <f t="shared" si="1"/>
        <v>31</v>
      </c>
      <c r="B34" s="58" t="s">
        <v>71</v>
      </c>
      <c r="C34" s="58" t="s">
        <v>7</v>
      </c>
      <c r="D34" s="58" t="s">
        <v>11</v>
      </c>
      <c r="E34" s="49">
        <f t="shared" si="0"/>
        <v>0.70000000000001705</v>
      </c>
      <c r="F34" s="53">
        <v>241.3</v>
      </c>
      <c r="G34" s="47"/>
      <c r="H34" s="59" t="s">
        <v>72</v>
      </c>
      <c r="I34" s="57" t="s">
        <v>204</v>
      </c>
      <c r="K34" s="1">
        <f>F34/30</f>
        <v>8.043333333333333</v>
      </c>
      <c r="L34" s="1">
        <f>K34+8.5</f>
        <v>16.543333333333333</v>
      </c>
      <c r="M34" s="1">
        <f>60*0.54</f>
        <v>32.400000000000006</v>
      </c>
      <c r="P34" s="1">
        <f>F34/12</f>
        <v>20.108333333333334</v>
      </c>
      <c r="Q34" s="1">
        <f>P34+8.5</f>
        <v>28.608333333333334</v>
      </c>
      <c r="R34" s="1">
        <f>0.61*60</f>
        <v>36.6</v>
      </c>
    </row>
    <row r="35" spans="1:18" ht="20" customHeight="1" x14ac:dyDescent="0.2">
      <c r="A35" s="13">
        <f t="shared" si="1"/>
        <v>32</v>
      </c>
      <c r="B35" s="29" t="s">
        <v>73</v>
      </c>
      <c r="C35" s="29" t="s">
        <v>8</v>
      </c>
      <c r="D35" s="29" t="s">
        <v>67</v>
      </c>
      <c r="E35" s="16">
        <f t="shared" si="0"/>
        <v>1.7999999999999829</v>
      </c>
      <c r="F35" s="23">
        <v>243.1</v>
      </c>
      <c r="G35" s="14"/>
      <c r="H35" s="28" t="s">
        <v>74</v>
      </c>
      <c r="I35" s="27"/>
    </row>
    <row r="36" spans="1:18" ht="20" customHeight="1" x14ac:dyDescent="0.2">
      <c r="A36" s="13">
        <f t="shared" si="1"/>
        <v>33</v>
      </c>
      <c r="B36" s="26" t="s">
        <v>76</v>
      </c>
      <c r="C36" s="29" t="s">
        <v>8</v>
      </c>
      <c r="D36" s="29" t="s">
        <v>75</v>
      </c>
      <c r="E36" s="16">
        <f t="shared" si="0"/>
        <v>44.400000000000006</v>
      </c>
      <c r="F36" s="23">
        <v>287.5</v>
      </c>
      <c r="G36" s="14"/>
      <c r="H36" s="28"/>
      <c r="I36" s="31"/>
    </row>
    <row r="37" spans="1:18" ht="20" customHeight="1" x14ac:dyDescent="0.2">
      <c r="A37" s="46">
        <f t="shared" si="1"/>
        <v>34</v>
      </c>
      <c r="B37" s="58" t="s">
        <v>77</v>
      </c>
      <c r="C37" s="58" t="s">
        <v>8</v>
      </c>
      <c r="D37" s="58" t="s">
        <v>78</v>
      </c>
      <c r="E37" s="49">
        <f t="shared" si="0"/>
        <v>30.699999999999989</v>
      </c>
      <c r="F37" s="53">
        <v>318.2</v>
      </c>
      <c r="G37" s="47"/>
      <c r="H37" s="59" t="s">
        <v>178</v>
      </c>
      <c r="I37" s="57" t="s">
        <v>231</v>
      </c>
      <c r="K37" s="1">
        <f>F37/30</f>
        <v>10.606666666666666</v>
      </c>
      <c r="L37" s="1">
        <f>K37+8.5</f>
        <v>19.106666666666666</v>
      </c>
      <c r="M37" s="1">
        <f>0.11*60</f>
        <v>6.6</v>
      </c>
      <c r="P37" s="1">
        <f>F37/12</f>
        <v>26.516666666666666</v>
      </c>
      <c r="Q37" s="1">
        <f>P37+8.5</f>
        <v>35.016666666666666</v>
      </c>
      <c r="R37" s="1">
        <v>0</v>
      </c>
    </row>
    <row r="38" spans="1:18" ht="20" customHeight="1" x14ac:dyDescent="0.2">
      <c r="A38" s="13">
        <f>A37+1</f>
        <v>35</v>
      </c>
      <c r="B38" s="28" t="s">
        <v>16</v>
      </c>
      <c r="C38" s="29" t="s">
        <v>9</v>
      </c>
      <c r="D38" s="29" t="s">
        <v>78</v>
      </c>
      <c r="E38" s="16">
        <f>F38-F37</f>
        <v>21.699999999999989</v>
      </c>
      <c r="F38" s="23">
        <v>339.9</v>
      </c>
      <c r="G38" s="20"/>
      <c r="H38" s="28"/>
      <c r="I38" s="30"/>
    </row>
    <row r="39" spans="1:18" ht="20" customHeight="1" x14ac:dyDescent="0.2">
      <c r="A39" s="13">
        <f t="shared" si="1"/>
        <v>36</v>
      </c>
      <c r="B39" s="28" t="s">
        <v>12</v>
      </c>
      <c r="C39" s="29" t="s">
        <v>8</v>
      </c>
      <c r="D39" s="29" t="s">
        <v>79</v>
      </c>
      <c r="E39" s="16">
        <f t="shared" si="0"/>
        <v>1</v>
      </c>
      <c r="F39" s="23">
        <v>340.9</v>
      </c>
      <c r="G39" s="20"/>
      <c r="H39" s="28" t="s">
        <v>80</v>
      </c>
      <c r="I39" s="30"/>
    </row>
    <row r="40" spans="1:18" ht="20" customHeight="1" x14ac:dyDescent="0.2">
      <c r="A40" s="13">
        <f t="shared" si="1"/>
        <v>37</v>
      </c>
      <c r="B40" s="28" t="s">
        <v>16</v>
      </c>
      <c r="C40" s="29" t="s">
        <v>9</v>
      </c>
      <c r="D40" s="29" t="s">
        <v>79</v>
      </c>
      <c r="E40" s="16">
        <f t="shared" si="0"/>
        <v>7.6000000000000227</v>
      </c>
      <c r="F40" s="23">
        <v>348.5</v>
      </c>
      <c r="G40" s="20"/>
      <c r="H40" s="28" t="s">
        <v>84</v>
      </c>
      <c r="I40" s="30"/>
    </row>
    <row r="41" spans="1:18" ht="20" customHeight="1" x14ac:dyDescent="0.2">
      <c r="A41" s="13">
        <f t="shared" si="1"/>
        <v>38</v>
      </c>
      <c r="B41" s="29" t="s">
        <v>81</v>
      </c>
      <c r="C41" s="29" t="s">
        <v>9</v>
      </c>
      <c r="D41" s="29" t="s">
        <v>82</v>
      </c>
      <c r="E41" s="16">
        <f t="shared" si="0"/>
        <v>14.399999999999977</v>
      </c>
      <c r="F41" s="23">
        <v>362.9</v>
      </c>
      <c r="G41" s="20"/>
      <c r="H41" s="28" t="s">
        <v>83</v>
      </c>
      <c r="I41" s="30"/>
    </row>
    <row r="42" spans="1:18" ht="20" customHeight="1" x14ac:dyDescent="0.2">
      <c r="A42" s="13">
        <f t="shared" si="1"/>
        <v>39</v>
      </c>
      <c r="B42" s="26" t="s">
        <v>85</v>
      </c>
      <c r="C42" s="29" t="s">
        <v>8</v>
      </c>
      <c r="D42" s="29" t="s">
        <v>87</v>
      </c>
      <c r="E42" s="16">
        <f t="shared" si="0"/>
        <v>11.900000000000034</v>
      </c>
      <c r="F42" s="23">
        <v>374.8</v>
      </c>
      <c r="G42" s="20"/>
      <c r="H42" s="28" t="s">
        <v>86</v>
      </c>
      <c r="I42" s="30"/>
    </row>
    <row r="43" spans="1:18" ht="39.5" customHeight="1" x14ac:dyDescent="0.2">
      <c r="A43" s="46">
        <f t="shared" si="1"/>
        <v>40</v>
      </c>
      <c r="B43" s="59" t="s">
        <v>220</v>
      </c>
      <c r="C43" s="58" t="s">
        <v>7</v>
      </c>
      <c r="D43" s="58" t="s">
        <v>87</v>
      </c>
      <c r="E43" s="49">
        <f t="shared" si="0"/>
        <v>5.5</v>
      </c>
      <c r="F43" s="53">
        <v>380.3</v>
      </c>
      <c r="G43" s="60"/>
      <c r="H43" s="59" t="s">
        <v>215</v>
      </c>
      <c r="I43" s="61"/>
    </row>
    <row r="44" spans="1:18" ht="20" customHeight="1" x14ac:dyDescent="0.2">
      <c r="A44" s="13">
        <f t="shared" si="1"/>
        <v>41</v>
      </c>
      <c r="B44" s="29" t="s">
        <v>22</v>
      </c>
      <c r="C44" s="29" t="s">
        <v>8</v>
      </c>
      <c r="D44" s="29" t="s">
        <v>87</v>
      </c>
      <c r="E44" s="16">
        <f t="shared" si="0"/>
        <v>5.3999999999999773</v>
      </c>
      <c r="F44" s="23">
        <v>385.7</v>
      </c>
      <c r="G44" s="20"/>
      <c r="H44" s="28" t="s">
        <v>88</v>
      </c>
      <c r="I44" s="30"/>
    </row>
    <row r="45" spans="1:18" ht="20" customHeight="1" x14ac:dyDescent="0.2">
      <c r="A45" s="13">
        <f t="shared" si="1"/>
        <v>42</v>
      </c>
      <c r="B45" s="29" t="s">
        <v>17</v>
      </c>
      <c r="C45" s="29" t="s">
        <v>9</v>
      </c>
      <c r="D45" s="29" t="s">
        <v>89</v>
      </c>
      <c r="E45" s="16">
        <f t="shared" si="0"/>
        <v>17.300000000000011</v>
      </c>
      <c r="F45" s="23">
        <v>403</v>
      </c>
      <c r="G45" s="20"/>
      <c r="H45" s="29"/>
      <c r="I45" s="30"/>
    </row>
    <row r="46" spans="1:18" ht="20" customHeight="1" x14ac:dyDescent="0.2">
      <c r="A46" s="13">
        <f t="shared" si="1"/>
        <v>43</v>
      </c>
      <c r="B46" s="29" t="s">
        <v>90</v>
      </c>
      <c r="C46" s="29" t="s">
        <v>9</v>
      </c>
      <c r="D46" s="29" t="s">
        <v>91</v>
      </c>
      <c r="E46" s="16">
        <f t="shared" si="0"/>
        <v>11.800000000000011</v>
      </c>
      <c r="F46" s="23">
        <v>414.8</v>
      </c>
      <c r="G46" s="20"/>
      <c r="H46" s="29"/>
      <c r="I46" s="30"/>
    </row>
    <row r="47" spans="1:18" ht="20" customHeight="1" x14ac:dyDescent="0.2">
      <c r="A47" s="13">
        <f t="shared" si="1"/>
        <v>44</v>
      </c>
      <c r="B47" s="29" t="s">
        <v>22</v>
      </c>
      <c r="C47" s="29" t="s">
        <v>8</v>
      </c>
      <c r="D47" s="29" t="s">
        <v>92</v>
      </c>
      <c r="E47" s="16">
        <f t="shared" si="0"/>
        <v>21.899999999999977</v>
      </c>
      <c r="F47" s="23">
        <v>436.7</v>
      </c>
      <c r="G47" s="20"/>
      <c r="H47" s="28" t="s">
        <v>93</v>
      </c>
      <c r="I47" s="30"/>
    </row>
    <row r="48" spans="1:18" ht="20" customHeight="1" x14ac:dyDescent="0.2">
      <c r="A48" s="13">
        <f t="shared" si="1"/>
        <v>45</v>
      </c>
      <c r="B48" s="14" t="s">
        <v>16</v>
      </c>
      <c r="C48" s="14" t="s">
        <v>8</v>
      </c>
      <c r="D48" s="22" t="s">
        <v>94</v>
      </c>
      <c r="E48" s="16">
        <f t="shared" si="0"/>
        <v>0.40000000000003411</v>
      </c>
      <c r="F48" s="23">
        <v>437.1</v>
      </c>
      <c r="G48" s="20"/>
      <c r="H48" s="28"/>
      <c r="I48" s="30"/>
    </row>
    <row r="49" spans="1:18" ht="20" customHeight="1" x14ac:dyDescent="0.2">
      <c r="A49" s="13">
        <f t="shared" si="1"/>
        <v>46</v>
      </c>
      <c r="B49" s="22" t="s">
        <v>12</v>
      </c>
      <c r="C49" s="14" t="s">
        <v>9</v>
      </c>
      <c r="D49" s="22" t="s">
        <v>94</v>
      </c>
      <c r="E49" s="16">
        <f t="shared" si="0"/>
        <v>22.899999999999977</v>
      </c>
      <c r="F49" s="23">
        <v>460</v>
      </c>
      <c r="G49" s="20"/>
      <c r="H49" s="28"/>
      <c r="I49" s="30"/>
    </row>
    <row r="50" spans="1:18" ht="20" customHeight="1" x14ac:dyDescent="0.2">
      <c r="A50" s="13">
        <f t="shared" si="1"/>
        <v>47</v>
      </c>
      <c r="B50" s="14" t="s">
        <v>95</v>
      </c>
      <c r="C50" s="14" t="s">
        <v>8</v>
      </c>
      <c r="D50" s="14" t="s">
        <v>94</v>
      </c>
      <c r="E50" s="16">
        <f t="shared" si="0"/>
        <v>10.699999999999989</v>
      </c>
      <c r="F50" s="23">
        <v>470.7</v>
      </c>
      <c r="G50" s="20"/>
      <c r="H50" s="28"/>
      <c r="I50" s="30"/>
    </row>
    <row r="51" spans="1:18" ht="20" customHeight="1" x14ac:dyDescent="0.2">
      <c r="A51" s="13">
        <f t="shared" si="1"/>
        <v>48</v>
      </c>
      <c r="B51" s="14" t="s">
        <v>96</v>
      </c>
      <c r="C51" s="14" t="s">
        <v>9</v>
      </c>
      <c r="D51" s="22" t="s">
        <v>94</v>
      </c>
      <c r="E51" s="16">
        <f t="shared" si="0"/>
        <v>0.69999999999998863</v>
      </c>
      <c r="F51" s="23">
        <v>471.4</v>
      </c>
      <c r="G51" s="20"/>
      <c r="H51" s="28"/>
      <c r="I51" s="30"/>
    </row>
    <row r="52" spans="1:18" ht="20" customHeight="1" x14ac:dyDescent="0.2">
      <c r="A52" s="13">
        <f t="shared" si="1"/>
        <v>49</v>
      </c>
      <c r="B52" s="14" t="s">
        <v>97</v>
      </c>
      <c r="C52" s="14" t="s">
        <v>8</v>
      </c>
      <c r="D52" s="22" t="s">
        <v>98</v>
      </c>
      <c r="E52" s="16">
        <f t="shared" si="0"/>
        <v>0.60000000000002274</v>
      </c>
      <c r="F52" s="23">
        <v>472</v>
      </c>
      <c r="G52" s="20"/>
      <c r="H52" s="28"/>
      <c r="I52" s="30"/>
    </row>
    <row r="53" spans="1:18" ht="20" customHeight="1" x14ac:dyDescent="0.2">
      <c r="A53" s="13">
        <f t="shared" si="1"/>
        <v>50</v>
      </c>
      <c r="B53" s="14" t="s">
        <v>14</v>
      </c>
      <c r="C53" s="14" t="s">
        <v>8</v>
      </c>
      <c r="D53" s="22" t="s">
        <v>99</v>
      </c>
      <c r="E53" s="16">
        <f t="shared" si="0"/>
        <v>3</v>
      </c>
      <c r="F53" s="23">
        <v>475</v>
      </c>
      <c r="G53" s="20"/>
      <c r="H53" s="24" t="s">
        <v>100</v>
      </c>
      <c r="I53" s="30"/>
    </row>
    <row r="54" spans="1:18" ht="20" customHeight="1" x14ac:dyDescent="0.2">
      <c r="A54" s="13">
        <f t="shared" si="1"/>
        <v>51</v>
      </c>
      <c r="B54" s="22" t="s">
        <v>101</v>
      </c>
      <c r="C54" s="14" t="s">
        <v>9</v>
      </c>
      <c r="D54" s="22" t="s">
        <v>102</v>
      </c>
      <c r="E54" s="16">
        <f t="shared" si="0"/>
        <v>2.8999999999999773</v>
      </c>
      <c r="F54" s="23">
        <v>477.9</v>
      </c>
      <c r="G54" s="20"/>
      <c r="H54" s="24" t="s">
        <v>103</v>
      </c>
      <c r="I54" s="30"/>
    </row>
    <row r="55" spans="1:18" ht="20" customHeight="1" x14ac:dyDescent="0.2">
      <c r="A55" s="13">
        <f t="shared" si="1"/>
        <v>52</v>
      </c>
      <c r="B55" s="22" t="s">
        <v>22</v>
      </c>
      <c r="C55" s="14" t="s">
        <v>9</v>
      </c>
      <c r="D55" s="22" t="s">
        <v>102</v>
      </c>
      <c r="E55" s="16">
        <f t="shared" si="0"/>
        <v>4.1000000000000227</v>
      </c>
      <c r="F55" s="23">
        <v>482</v>
      </c>
      <c r="G55" s="20"/>
      <c r="H55" s="24"/>
      <c r="I55" s="30"/>
    </row>
    <row r="56" spans="1:18" ht="20" customHeight="1" x14ac:dyDescent="0.2">
      <c r="A56" s="13">
        <f t="shared" si="1"/>
        <v>53</v>
      </c>
      <c r="B56" s="14" t="s">
        <v>104</v>
      </c>
      <c r="C56" s="14" t="s">
        <v>9</v>
      </c>
      <c r="D56" s="14" t="s">
        <v>102</v>
      </c>
      <c r="E56" s="16">
        <f t="shared" si="0"/>
        <v>1</v>
      </c>
      <c r="F56" s="23">
        <v>483</v>
      </c>
      <c r="G56" s="20"/>
      <c r="H56" s="26"/>
      <c r="I56" s="30"/>
      <c r="J56" s="32"/>
    </row>
    <row r="57" spans="1:18" ht="20" customHeight="1" x14ac:dyDescent="0.2">
      <c r="A57" s="13">
        <f t="shared" si="1"/>
        <v>54</v>
      </c>
      <c r="B57" s="14" t="s">
        <v>105</v>
      </c>
      <c r="C57" s="14" t="s">
        <v>9</v>
      </c>
      <c r="D57" s="14" t="s">
        <v>106</v>
      </c>
      <c r="E57" s="16">
        <f t="shared" si="0"/>
        <v>13</v>
      </c>
      <c r="F57" s="23">
        <v>496</v>
      </c>
      <c r="G57" s="20"/>
      <c r="H57" s="24"/>
      <c r="I57" s="30"/>
    </row>
    <row r="58" spans="1:18" ht="20" customHeight="1" x14ac:dyDescent="0.2">
      <c r="A58" s="46">
        <f t="shared" si="1"/>
        <v>55</v>
      </c>
      <c r="B58" s="47" t="s">
        <v>211</v>
      </c>
      <c r="C58" s="47" t="s">
        <v>7</v>
      </c>
      <c r="D58" s="47" t="s">
        <v>107</v>
      </c>
      <c r="E58" s="49">
        <f t="shared" si="0"/>
        <v>32.5</v>
      </c>
      <c r="F58" s="53">
        <v>528.5</v>
      </c>
      <c r="G58" s="60"/>
      <c r="H58" s="54" t="s">
        <v>212</v>
      </c>
      <c r="I58" s="61" t="s">
        <v>232</v>
      </c>
      <c r="K58" s="1">
        <f>F58/30</f>
        <v>17.616666666666667</v>
      </c>
      <c r="L58" s="1">
        <f>K58+8.5</f>
        <v>26.116666666666667</v>
      </c>
      <c r="M58" s="1">
        <f>60*0.12</f>
        <v>7.1999999999999993</v>
      </c>
      <c r="P58" s="1">
        <f>F58/12</f>
        <v>44.041666666666664</v>
      </c>
      <c r="Q58" s="1">
        <f>P58+8.5</f>
        <v>52.541666666666664</v>
      </c>
      <c r="R58" s="1">
        <f>0.54*60</f>
        <v>32.400000000000006</v>
      </c>
    </row>
    <row r="59" spans="1:18" ht="20" customHeight="1" x14ac:dyDescent="0.2">
      <c r="A59" s="13">
        <f t="shared" si="1"/>
        <v>56</v>
      </c>
      <c r="B59" s="14" t="s">
        <v>108</v>
      </c>
      <c r="C59" s="20" t="s">
        <v>8</v>
      </c>
      <c r="D59" s="20" t="s">
        <v>110</v>
      </c>
      <c r="E59" s="16">
        <f t="shared" si="0"/>
        <v>17</v>
      </c>
      <c r="F59" s="23">
        <v>545.5</v>
      </c>
      <c r="G59" s="20"/>
      <c r="H59" s="24" t="s">
        <v>109</v>
      </c>
      <c r="I59" s="30"/>
    </row>
    <row r="60" spans="1:18" ht="20" customHeight="1" x14ac:dyDescent="0.2">
      <c r="A60" s="13">
        <f t="shared" si="1"/>
        <v>57</v>
      </c>
      <c r="B60" s="20" t="s">
        <v>12</v>
      </c>
      <c r="C60" s="45" t="s">
        <v>8</v>
      </c>
      <c r="D60" s="20" t="s">
        <v>110</v>
      </c>
      <c r="E60" s="16">
        <f>F60-F59</f>
        <v>38.799999999999955</v>
      </c>
      <c r="F60" s="23">
        <v>584.29999999999995</v>
      </c>
      <c r="G60" s="20"/>
      <c r="H60" s="24"/>
      <c r="I60" s="30"/>
    </row>
    <row r="61" spans="1:18" ht="20" customHeight="1" x14ac:dyDescent="0.2">
      <c r="A61" s="13">
        <f t="shared" si="1"/>
        <v>58</v>
      </c>
      <c r="B61" s="14" t="s">
        <v>111</v>
      </c>
      <c r="C61" s="14" t="s">
        <v>9</v>
      </c>
      <c r="D61" s="14" t="s">
        <v>110</v>
      </c>
      <c r="E61" s="16">
        <f>F61-F60</f>
        <v>1.3000000000000682</v>
      </c>
      <c r="F61" s="23">
        <v>585.6</v>
      </c>
      <c r="G61" s="20"/>
      <c r="H61" s="24"/>
      <c r="I61" s="30"/>
    </row>
    <row r="62" spans="1:18" ht="20" customHeight="1" x14ac:dyDescent="0.2">
      <c r="A62" s="46">
        <f t="shared" si="1"/>
        <v>59</v>
      </c>
      <c r="B62" s="47" t="s">
        <v>112</v>
      </c>
      <c r="C62" s="47" t="s">
        <v>7</v>
      </c>
      <c r="D62" s="47" t="s">
        <v>110</v>
      </c>
      <c r="E62" s="49">
        <f t="shared" si="0"/>
        <v>0.69999999999993179</v>
      </c>
      <c r="F62" s="53">
        <v>586.29999999999995</v>
      </c>
      <c r="G62" s="60"/>
      <c r="H62" s="59" t="s">
        <v>212</v>
      </c>
      <c r="I62" s="61" t="s">
        <v>230</v>
      </c>
      <c r="K62" s="1">
        <f>F62/30</f>
        <v>19.543333333333333</v>
      </c>
      <c r="L62" s="1">
        <f>K62+8.5</f>
        <v>28.043333333333333</v>
      </c>
      <c r="M62" s="1">
        <f>0.04*60</f>
        <v>2.4</v>
      </c>
      <c r="P62" s="1">
        <f>F62/12</f>
        <v>48.858333333333327</v>
      </c>
      <c r="Q62" s="1">
        <f>P62+8.5</f>
        <v>57.358333333333327</v>
      </c>
      <c r="R62" s="1">
        <f>0.36*60</f>
        <v>21.599999999999998</v>
      </c>
    </row>
    <row r="63" spans="1:18" ht="20" customHeight="1" x14ac:dyDescent="0.2">
      <c r="A63" s="13">
        <f t="shared" si="1"/>
        <v>60</v>
      </c>
      <c r="B63" s="14" t="s">
        <v>113</v>
      </c>
      <c r="C63" s="14" t="s">
        <v>9</v>
      </c>
      <c r="D63" s="14" t="s">
        <v>114</v>
      </c>
      <c r="E63" s="16">
        <f t="shared" si="0"/>
        <v>3.5</v>
      </c>
      <c r="F63" s="23">
        <v>589.79999999999995</v>
      </c>
      <c r="G63" s="20"/>
      <c r="H63" s="28"/>
      <c r="I63" s="30"/>
    </row>
    <row r="64" spans="1:18" ht="20" customHeight="1" x14ac:dyDescent="0.2">
      <c r="A64" s="13">
        <f t="shared" si="1"/>
        <v>61</v>
      </c>
      <c r="B64" s="14" t="s">
        <v>115</v>
      </c>
      <c r="C64" s="14" t="s">
        <v>8</v>
      </c>
      <c r="D64" s="14" t="s">
        <v>10</v>
      </c>
      <c r="E64" s="16">
        <f t="shared" si="0"/>
        <v>9.8000000000000682</v>
      </c>
      <c r="F64" s="23">
        <v>599.6</v>
      </c>
      <c r="G64" s="20"/>
      <c r="H64" s="28"/>
      <c r="I64" s="30"/>
    </row>
    <row r="65" spans="1:18" ht="20" customHeight="1" x14ac:dyDescent="0.2">
      <c r="A65" s="13">
        <f t="shared" si="1"/>
        <v>62</v>
      </c>
      <c r="B65" s="14" t="s">
        <v>116</v>
      </c>
      <c r="C65" s="14" t="s">
        <v>9</v>
      </c>
      <c r="D65" s="14" t="s">
        <v>114</v>
      </c>
      <c r="E65" s="16">
        <f t="shared" si="0"/>
        <v>2.2999999999999545</v>
      </c>
      <c r="F65" s="23">
        <v>601.9</v>
      </c>
      <c r="G65" s="20"/>
      <c r="H65" s="28"/>
      <c r="I65" s="30"/>
    </row>
    <row r="66" spans="1:18" ht="20" customHeight="1" x14ac:dyDescent="0.2">
      <c r="A66" s="13">
        <f t="shared" si="1"/>
        <v>63</v>
      </c>
      <c r="B66" s="14" t="s">
        <v>14</v>
      </c>
      <c r="C66" s="14" t="s">
        <v>8</v>
      </c>
      <c r="D66" s="14" t="s">
        <v>11</v>
      </c>
      <c r="E66" s="16">
        <f t="shared" si="0"/>
        <v>11.200000000000045</v>
      </c>
      <c r="F66" s="23">
        <v>613.1</v>
      </c>
      <c r="G66" s="20"/>
      <c r="H66" s="28" t="s">
        <v>117</v>
      </c>
      <c r="I66" s="30"/>
    </row>
    <row r="67" spans="1:18" ht="20" customHeight="1" x14ac:dyDescent="0.2">
      <c r="A67" s="13">
        <f t="shared" si="1"/>
        <v>64</v>
      </c>
      <c r="B67" s="14" t="s">
        <v>19</v>
      </c>
      <c r="C67" s="14" t="s">
        <v>9</v>
      </c>
      <c r="D67" s="14" t="s">
        <v>11</v>
      </c>
      <c r="E67" s="16">
        <f t="shared" si="0"/>
        <v>0.10000000000002274</v>
      </c>
      <c r="F67" s="23">
        <v>613.20000000000005</v>
      </c>
      <c r="G67" s="20"/>
      <c r="H67" s="28"/>
      <c r="I67" s="30"/>
    </row>
    <row r="68" spans="1:18" ht="20" customHeight="1" x14ac:dyDescent="0.2">
      <c r="A68" s="13">
        <f t="shared" si="1"/>
        <v>65</v>
      </c>
      <c r="B68" s="14" t="s">
        <v>17</v>
      </c>
      <c r="C68" s="14" t="s">
        <v>8</v>
      </c>
      <c r="D68" s="14" t="s">
        <v>118</v>
      </c>
      <c r="E68" s="16">
        <f t="shared" si="0"/>
        <v>1.7999999999999545</v>
      </c>
      <c r="F68" s="23">
        <v>615</v>
      </c>
      <c r="G68" s="20"/>
      <c r="H68" s="28"/>
      <c r="I68" s="30"/>
    </row>
    <row r="69" spans="1:18" ht="20" customHeight="1" x14ac:dyDescent="0.2">
      <c r="A69" s="13">
        <f t="shared" si="1"/>
        <v>66</v>
      </c>
      <c r="B69" s="29" t="s">
        <v>81</v>
      </c>
      <c r="C69" s="14" t="s">
        <v>9</v>
      </c>
      <c r="D69" s="14" t="s">
        <v>20</v>
      </c>
      <c r="E69" s="16">
        <f t="shared" si="0"/>
        <v>22.299999999999955</v>
      </c>
      <c r="F69" s="23">
        <v>637.29999999999995</v>
      </c>
      <c r="G69" s="20"/>
      <c r="H69" s="28"/>
      <c r="I69" s="30"/>
    </row>
    <row r="70" spans="1:18" ht="51" customHeight="1" x14ac:dyDescent="0.2">
      <c r="A70" s="46">
        <f t="shared" si="1"/>
        <v>67</v>
      </c>
      <c r="B70" s="47" t="s">
        <v>121</v>
      </c>
      <c r="C70" s="47" t="s">
        <v>21</v>
      </c>
      <c r="D70" s="47" t="s">
        <v>20</v>
      </c>
      <c r="E70" s="49">
        <f t="shared" si="0"/>
        <v>0.10000000000002274</v>
      </c>
      <c r="F70" s="53">
        <v>637.4</v>
      </c>
      <c r="G70" s="60"/>
      <c r="H70" s="59" t="s">
        <v>216</v>
      </c>
      <c r="I70" s="61" t="s">
        <v>207</v>
      </c>
      <c r="K70" s="1">
        <f>F70/30</f>
        <v>21.246666666666666</v>
      </c>
      <c r="L70" s="1">
        <f>K70+8.5</f>
        <v>29.746666666666666</v>
      </c>
      <c r="M70" s="1">
        <f>60*0.75</f>
        <v>45</v>
      </c>
      <c r="P70" s="1">
        <f>F70/12</f>
        <v>53.116666666666667</v>
      </c>
      <c r="Q70" s="1">
        <f>P70+8.5</f>
        <v>61.616666666666667</v>
      </c>
      <c r="R70" s="1">
        <f>0.62*60</f>
        <v>37.200000000000003</v>
      </c>
    </row>
    <row r="71" spans="1:18" ht="20" customHeight="1" x14ac:dyDescent="0.2">
      <c r="A71" s="13">
        <f t="shared" si="1"/>
        <v>68</v>
      </c>
      <c r="B71" s="14" t="s">
        <v>155</v>
      </c>
      <c r="C71" s="15" t="s">
        <v>119</v>
      </c>
      <c r="D71" s="14" t="s">
        <v>20</v>
      </c>
      <c r="E71" s="16">
        <f t="shared" si="0"/>
        <v>0</v>
      </c>
      <c r="F71" s="23">
        <f>$F$70</f>
        <v>637.4</v>
      </c>
      <c r="G71" s="20"/>
      <c r="H71" s="28" t="s">
        <v>120</v>
      </c>
      <c r="I71" s="30"/>
    </row>
    <row r="72" spans="1:18" ht="20" customHeight="1" x14ac:dyDescent="0.2">
      <c r="A72" s="13">
        <f t="shared" ref="A72:A140" si="2">A71+1</f>
        <v>69</v>
      </c>
      <c r="B72" s="14" t="s">
        <v>16</v>
      </c>
      <c r="C72" s="15" t="s">
        <v>9</v>
      </c>
      <c r="D72" s="14" t="s">
        <v>20</v>
      </c>
      <c r="E72" s="16">
        <f t="shared" si="0"/>
        <v>0.10000000000002274</v>
      </c>
      <c r="F72" s="23">
        <f>$F$70+0.1</f>
        <v>637.5</v>
      </c>
      <c r="G72" s="20"/>
      <c r="H72" s="28"/>
      <c r="I72" s="30"/>
    </row>
    <row r="73" spans="1:18" ht="42.5" customHeight="1" x14ac:dyDescent="0.2">
      <c r="A73" s="13">
        <f t="shared" si="2"/>
        <v>70</v>
      </c>
      <c r="B73" s="14" t="s">
        <v>16</v>
      </c>
      <c r="C73" s="15" t="s">
        <v>9</v>
      </c>
      <c r="D73" s="14" t="s">
        <v>122</v>
      </c>
      <c r="E73" s="16">
        <f t="shared" si="0"/>
        <v>0.10000000000002274</v>
      </c>
      <c r="F73" s="23">
        <f>$F$70+0.2</f>
        <v>637.6</v>
      </c>
      <c r="G73" s="20"/>
      <c r="H73" s="28" t="s">
        <v>126</v>
      </c>
      <c r="I73" s="30"/>
    </row>
    <row r="74" spans="1:18" ht="20" customHeight="1" x14ac:dyDescent="0.2">
      <c r="A74" s="13">
        <f t="shared" si="2"/>
        <v>71</v>
      </c>
      <c r="B74" s="29" t="s">
        <v>34</v>
      </c>
      <c r="C74" s="14" t="s">
        <v>8</v>
      </c>
      <c r="D74" s="14" t="s">
        <v>123</v>
      </c>
      <c r="E74" s="16">
        <f t="shared" si="0"/>
        <v>40.399999999999977</v>
      </c>
      <c r="F74" s="23">
        <f>$F$70+40.6</f>
        <v>678</v>
      </c>
      <c r="G74" s="20"/>
      <c r="H74" s="28"/>
      <c r="I74" s="30"/>
    </row>
    <row r="75" spans="1:18" ht="20" customHeight="1" x14ac:dyDescent="0.2">
      <c r="A75" s="13">
        <f t="shared" si="2"/>
        <v>72</v>
      </c>
      <c r="B75" s="14" t="s">
        <v>124</v>
      </c>
      <c r="C75" s="14" t="s">
        <v>8</v>
      </c>
      <c r="D75" s="14" t="s">
        <v>123</v>
      </c>
      <c r="E75" s="16">
        <f t="shared" si="0"/>
        <v>2.3999999999999773</v>
      </c>
      <c r="F75" s="23">
        <f>$F$70+43</f>
        <v>680.4</v>
      </c>
      <c r="G75" s="20"/>
      <c r="H75" s="28"/>
      <c r="I75" s="30"/>
    </row>
    <row r="76" spans="1:18" ht="20" customHeight="1" x14ac:dyDescent="0.2">
      <c r="A76" s="13">
        <f>A75+1</f>
        <v>73</v>
      </c>
      <c r="B76" s="14" t="s">
        <v>125</v>
      </c>
      <c r="C76" s="14" t="s">
        <v>9</v>
      </c>
      <c r="D76" s="14" t="s">
        <v>134</v>
      </c>
      <c r="E76" s="16">
        <f>F76-F75</f>
        <v>8.8999999999999773</v>
      </c>
      <c r="F76" s="23">
        <f>$F$70+51.9</f>
        <v>689.3</v>
      </c>
      <c r="G76" s="20"/>
      <c r="H76" s="28" t="s">
        <v>127</v>
      </c>
      <c r="I76" s="30"/>
    </row>
    <row r="77" spans="1:18" ht="20" customHeight="1" x14ac:dyDescent="0.2">
      <c r="A77" s="13">
        <f t="shared" si="2"/>
        <v>74</v>
      </c>
      <c r="B77" s="29" t="s">
        <v>81</v>
      </c>
      <c r="C77" s="14" t="s">
        <v>9</v>
      </c>
      <c r="D77" s="15" t="s">
        <v>128</v>
      </c>
      <c r="E77" s="16">
        <f t="shared" si="0"/>
        <v>14.899999999999977</v>
      </c>
      <c r="F77" s="23">
        <f>$F$70+66.8</f>
        <v>704.19999999999993</v>
      </c>
      <c r="G77" s="20"/>
      <c r="H77" s="28" t="s">
        <v>129</v>
      </c>
      <c r="I77" s="30"/>
    </row>
    <row r="78" spans="1:18" ht="20" customHeight="1" x14ac:dyDescent="0.2">
      <c r="A78" s="13">
        <f t="shared" si="2"/>
        <v>75</v>
      </c>
      <c r="B78" s="14" t="s">
        <v>12</v>
      </c>
      <c r="C78" s="14" t="s">
        <v>8</v>
      </c>
      <c r="D78" s="15" t="s">
        <v>128</v>
      </c>
      <c r="E78" s="16">
        <f t="shared" si="0"/>
        <v>4.5</v>
      </c>
      <c r="F78" s="23">
        <f>$F$70+71.3</f>
        <v>708.69999999999993</v>
      </c>
      <c r="G78" s="20"/>
      <c r="H78" s="28"/>
      <c r="I78" s="30"/>
    </row>
    <row r="79" spans="1:18" ht="20" customHeight="1" x14ac:dyDescent="0.2">
      <c r="A79" s="13">
        <f t="shared" si="2"/>
        <v>76</v>
      </c>
      <c r="B79" s="14" t="s">
        <v>16</v>
      </c>
      <c r="C79" s="14" t="s">
        <v>8</v>
      </c>
      <c r="D79" s="14" t="s">
        <v>130</v>
      </c>
      <c r="E79" s="16">
        <f t="shared" si="0"/>
        <v>0.70000000000004547</v>
      </c>
      <c r="F79" s="23">
        <f>$F$70+72</f>
        <v>709.4</v>
      </c>
      <c r="G79" s="20"/>
      <c r="H79" s="28"/>
      <c r="I79" s="30"/>
    </row>
    <row r="80" spans="1:18" ht="20" customHeight="1" x14ac:dyDescent="0.2">
      <c r="A80" s="13">
        <f t="shared" si="2"/>
        <v>77</v>
      </c>
      <c r="B80" s="14" t="s">
        <v>12</v>
      </c>
      <c r="C80" s="14" t="s">
        <v>9</v>
      </c>
      <c r="D80" s="14" t="s">
        <v>128</v>
      </c>
      <c r="E80" s="16">
        <f t="shared" si="0"/>
        <v>1.1000000000000227</v>
      </c>
      <c r="F80" s="23">
        <f>$F$70+73.1</f>
        <v>710.5</v>
      </c>
      <c r="G80" s="20"/>
      <c r="H80" s="28" t="s">
        <v>117</v>
      </c>
      <c r="I80" s="30"/>
    </row>
    <row r="81" spans="1:18" ht="20" customHeight="1" x14ac:dyDescent="0.2">
      <c r="A81" s="13">
        <f t="shared" si="2"/>
        <v>78</v>
      </c>
      <c r="B81" s="22" t="s">
        <v>12</v>
      </c>
      <c r="C81" s="14" t="s">
        <v>8</v>
      </c>
      <c r="D81" s="14" t="s">
        <v>11</v>
      </c>
      <c r="E81" s="16">
        <f t="shared" si="0"/>
        <v>0.10000000000002274</v>
      </c>
      <c r="F81" s="23">
        <f>$F$70+73.2</f>
        <v>710.6</v>
      </c>
      <c r="G81" s="20"/>
      <c r="H81" s="28" t="s">
        <v>131</v>
      </c>
      <c r="I81" s="30"/>
    </row>
    <row r="82" spans="1:18" ht="20" customHeight="1" x14ac:dyDescent="0.2">
      <c r="A82" s="13">
        <f t="shared" si="2"/>
        <v>79</v>
      </c>
      <c r="B82" s="29" t="s">
        <v>81</v>
      </c>
      <c r="C82" s="14" t="s">
        <v>9</v>
      </c>
      <c r="D82" s="14" t="s">
        <v>11</v>
      </c>
      <c r="E82" s="16">
        <f t="shared" si="0"/>
        <v>9.9999999999909051E-2</v>
      </c>
      <c r="F82" s="23">
        <f>$F$70+73.3</f>
        <v>710.69999999999993</v>
      </c>
      <c r="G82" s="20"/>
      <c r="H82" s="28" t="s">
        <v>132</v>
      </c>
      <c r="I82" s="30"/>
    </row>
    <row r="83" spans="1:18" ht="20" customHeight="1" x14ac:dyDescent="0.2">
      <c r="A83" s="13">
        <f t="shared" si="2"/>
        <v>80</v>
      </c>
      <c r="B83" s="14" t="s">
        <v>14</v>
      </c>
      <c r="C83" s="14" t="s">
        <v>8</v>
      </c>
      <c r="D83" s="14" t="s">
        <v>11</v>
      </c>
      <c r="E83" s="16">
        <f t="shared" si="0"/>
        <v>0.70000000000004547</v>
      </c>
      <c r="F83" s="23">
        <f>$F$70+74</f>
        <v>711.4</v>
      </c>
      <c r="G83" s="20"/>
      <c r="H83" s="28"/>
      <c r="I83" s="30"/>
    </row>
    <row r="84" spans="1:18" ht="20" customHeight="1" x14ac:dyDescent="0.2">
      <c r="A84" s="13">
        <f t="shared" si="2"/>
        <v>81</v>
      </c>
      <c r="B84" s="14" t="s">
        <v>22</v>
      </c>
      <c r="C84" s="14" t="s">
        <v>9</v>
      </c>
      <c r="D84" s="22" t="s">
        <v>135</v>
      </c>
      <c r="E84" s="16">
        <f t="shared" si="0"/>
        <v>0.10000000000002274</v>
      </c>
      <c r="F84" s="23">
        <f>$F$70+74.1</f>
        <v>711.5</v>
      </c>
      <c r="G84" s="20"/>
      <c r="H84" s="28" t="s">
        <v>136</v>
      </c>
      <c r="I84" s="30"/>
    </row>
    <row r="85" spans="1:18" ht="20" customHeight="1" x14ac:dyDescent="0.2">
      <c r="A85" s="13">
        <f t="shared" si="2"/>
        <v>82</v>
      </c>
      <c r="B85" s="14" t="s">
        <v>133</v>
      </c>
      <c r="C85" s="14" t="s">
        <v>8</v>
      </c>
      <c r="D85" s="22" t="s">
        <v>134</v>
      </c>
      <c r="E85" s="16">
        <f t="shared" si="0"/>
        <v>3.1000000000000227</v>
      </c>
      <c r="F85" s="23">
        <f>$F$70+77.2</f>
        <v>714.6</v>
      </c>
      <c r="G85" s="20"/>
      <c r="H85" s="28"/>
      <c r="I85" s="30"/>
    </row>
    <row r="86" spans="1:18" ht="20" customHeight="1" x14ac:dyDescent="0.2">
      <c r="A86" s="13">
        <f t="shared" si="2"/>
        <v>83</v>
      </c>
      <c r="B86" s="14" t="s">
        <v>17</v>
      </c>
      <c r="C86" s="14" t="s">
        <v>9</v>
      </c>
      <c r="D86" s="22" t="s">
        <v>137</v>
      </c>
      <c r="E86" s="16">
        <f t="shared" si="0"/>
        <v>57.199999999999932</v>
      </c>
      <c r="F86" s="23">
        <f>$F$70+134.4</f>
        <v>771.8</v>
      </c>
      <c r="G86" s="20"/>
      <c r="H86" s="28" t="s">
        <v>145</v>
      </c>
      <c r="I86" s="30"/>
    </row>
    <row r="87" spans="1:18" ht="20" customHeight="1" x14ac:dyDescent="0.2">
      <c r="A87" s="13">
        <f t="shared" si="2"/>
        <v>84</v>
      </c>
      <c r="B87" s="14" t="s">
        <v>17</v>
      </c>
      <c r="C87" s="14" t="s">
        <v>8</v>
      </c>
      <c r="D87" s="14" t="s">
        <v>137</v>
      </c>
      <c r="E87" s="16">
        <f t="shared" si="0"/>
        <v>0.60000000000002274</v>
      </c>
      <c r="F87" s="23">
        <f>$F$70+135</f>
        <v>772.4</v>
      </c>
      <c r="G87" s="20"/>
      <c r="H87" s="28"/>
      <c r="I87" s="30"/>
    </row>
    <row r="88" spans="1:18" ht="20" customHeight="1" x14ac:dyDescent="0.2">
      <c r="A88" s="13">
        <f t="shared" si="2"/>
        <v>85</v>
      </c>
      <c r="B88" s="14" t="s">
        <v>138</v>
      </c>
      <c r="C88" s="14" t="s">
        <v>9</v>
      </c>
      <c r="D88" s="14" t="s">
        <v>137</v>
      </c>
      <c r="E88" s="16">
        <f t="shared" si="0"/>
        <v>7.1999999999999318</v>
      </c>
      <c r="F88" s="23">
        <f>$F$70+142.2</f>
        <v>779.59999999999991</v>
      </c>
      <c r="G88" s="20"/>
      <c r="H88" s="28" t="s">
        <v>152</v>
      </c>
      <c r="I88" s="30"/>
    </row>
    <row r="89" spans="1:18" ht="33" customHeight="1" x14ac:dyDescent="0.2">
      <c r="A89" s="46">
        <f t="shared" si="2"/>
        <v>86</v>
      </c>
      <c r="B89" s="52" t="s">
        <v>221</v>
      </c>
      <c r="C89" s="47" t="s">
        <v>7</v>
      </c>
      <c r="D89" s="47" t="s">
        <v>137</v>
      </c>
      <c r="E89" s="49">
        <f t="shared" si="0"/>
        <v>4.7000000000000455</v>
      </c>
      <c r="F89" s="53">
        <f>$F$70+146.9</f>
        <v>784.3</v>
      </c>
      <c r="G89" s="60"/>
      <c r="H89" s="59" t="s">
        <v>72</v>
      </c>
      <c r="I89" s="61"/>
    </row>
    <row r="90" spans="1:18" ht="20" customHeight="1" x14ac:dyDescent="0.2">
      <c r="A90" s="13">
        <f t="shared" si="2"/>
        <v>87</v>
      </c>
      <c r="B90" s="14" t="s">
        <v>17</v>
      </c>
      <c r="C90" s="14" t="s">
        <v>8</v>
      </c>
      <c r="D90" s="14" t="s">
        <v>137</v>
      </c>
      <c r="E90" s="16">
        <f t="shared" si="0"/>
        <v>35.400000000000091</v>
      </c>
      <c r="F90" s="23">
        <f>$F$70+182.3</f>
        <v>819.7</v>
      </c>
      <c r="G90" s="20"/>
      <c r="H90" s="28"/>
      <c r="I90" s="30"/>
    </row>
    <row r="91" spans="1:18" ht="20" customHeight="1" x14ac:dyDescent="0.2">
      <c r="A91" s="13">
        <f t="shared" si="2"/>
        <v>88</v>
      </c>
      <c r="B91" s="22" t="s">
        <v>12</v>
      </c>
      <c r="C91" s="14" t="s">
        <v>9</v>
      </c>
      <c r="D91" s="14" t="s">
        <v>139</v>
      </c>
      <c r="E91" s="16">
        <f t="shared" si="0"/>
        <v>1.3999999999998636</v>
      </c>
      <c r="F91" s="23">
        <f>$F$70+183.7</f>
        <v>821.09999999999991</v>
      </c>
      <c r="G91" s="20"/>
      <c r="H91" s="28"/>
      <c r="I91" s="30"/>
    </row>
    <row r="92" spans="1:18" ht="20" customHeight="1" x14ac:dyDescent="0.2">
      <c r="A92" s="13">
        <f t="shared" si="2"/>
        <v>89</v>
      </c>
      <c r="B92" s="14" t="s">
        <v>16</v>
      </c>
      <c r="C92" s="14" t="s">
        <v>9</v>
      </c>
      <c r="D92" s="14" t="s">
        <v>139</v>
      </c>
      <c r="E92" s="16">
        <f t="shared" si="0"/>
        <v>11.200000000000045</v>
      </c>
      <c r="F92" s="23">
        <f>$F$70+194.9</f>
        <v>832.3</v>
      </c>
      <c r="G92" s="20"/>
      <c r="H92" s="28" t="s">
        <v>146</v>
      </c>
      <c r="I92" s="30"/>
    </row>
    <row r="93" spans="1:18" ht="55.5" customHeight="1" x14ac:dyDescent="0.2">
      <c r="A93" s="46">
        <f t="shared" si="2"/>
        <v>90</v>
      </c>
      <c r="B93" s="47" t="s">
        <v>156</v>
      </c>
      <c r="C93" s="47" t="s">
        <v>7</v>
      </c>
      <c r="D93" s="52" t="s">
        <v>139</v>
      </c>
      <c r="E93" s="49">
        <f t="shared" si="0"/>
        <v>1.6000000000000227</v>
      </c>
      <c r="F93" s="53">
        <f>$F$70+196.5</f>
        <v>833.9</v>
      </c>
      <c r="G93" s="60"/>
      <c r="H93" s="59" t="s">
        <v>214</v>
      </c>
      <c r="I93" s="61" t="s">
        <v>208</v>
      </c>
      <c r="K93" s="1">
        <f>F93/30</f>
        <v>27.796666666666667</v>
      </c>
      <c r="L93" s="1">
        <f>K93+8.5</f>
        <v>36.296666666666667</v>
      </c>
      <c r="M93" s="1">
        <f>60*0.3</f>
        <v>18</v>
      </c>
      <c r="P93" s="1">
        <f>F93/12</f>
        <v>69.49166666666666</v>
      </c>
      <c r="Q93" s="1">
        <f>P93+8.5</f>
        <v>77.99166666666666</v>
      </c>
      <c r="R93" s="1">
        <f>0.99*60</f>
        <v>59.4</v>
      </c>
    </row>
    <row r="94" spans="1:18" ht="20" customHeight="1" x14ac:dyDescent="0.2">
      <c r="A94" s="13">
        <f t="shared" si="2"/>
        <v>91</v>
      </c>
      <c r="B94" s="22" t="s">
        <v>81</v>
      </c>
      <c r="C94" s="22" t="s">
        <v>9</v>
      </c>
      <c r="D94" s="14" t="s">
        <v>139</v>
      </c>
      <c r="E94" s="16">
        <f t="shared" si="0"/>
        <v>10.800000000000068</v>
      </c>
      <c r="F94" s="23">
        <f>$F$70+207.3</f>
        <v>844.7</v>
      </c>
      <c r="G94" s="20"/>
      <c r="H94" s="28" t="s">
        <v>147</v>
      </c>
      <c r="I94" s="30"/>
    </row>
    <row r="95" spans="1:18" ht="20" customHeight="1" x14ac:dyDescent="0.2">
      <c r="A95" s="13">
        <f t="shared" si="2"/>
        <v>92</v>
      </c>
      <c r="B95" s="14" t="s">
        <v>12</v>
      </c>
      <c r="C95" s="22" t="s">
        <v>9</v>
      </c>
      <c r="D95" s="14" t="s">
        <v>139</v>
      </c>
      <c r="E95" s="16">
        <f t="shared" si="0"/>
        <v>2.5999999999999091</v>
      </c>
      <c r="F95" s="23">
        <f>$F$70+209.9</f>
        <v>847.3</v>
      </c>
      <c r="G95" s="20"/>
      <c r="H95" s="29"/>
      <c r="I95" s="30"/>
    </row>
    <row r="96" spans="1:18" ht="40.5" customHeight="1" x14ac:dyDescent="0.2">
      <c r="A96" s="13">
        <f t="shared" si="2"/>
        <v>93</v>
      </c>
      <c r="B96" s="14" t="s">
        <v>16</v>
      </c>
      <c r="C96" s="14" t="s">
        <v>9</v>
      </c>
      <c r="D96" s="14" t="s">
        <v>137</v>
      </c>
      <c r="E96" s="16">
        <f t="shared" si="0"/>
        <v>2</v>
      </c>
      <c r="F96" s="23">
        <f>$F$70+211.9</f>
        <v>849.3</v>
      </c>
      <c r="G96" s="20"/>
      <c r="H96" s="28" t="s">
        <v>205</v>
      </c>
      <c r="I96" s="30"/>
    </row>
    <row r="97" spans="1:18" ht="20" customHeight="1" x14ac:dyDescent="0.2">
      <c r="A97" s="13">
        <f t="shared" si="2"/>
        <v>94</v>
      </c>
      <c r="B97" s="14" t="s">
        <v>22</v>
      </c>
      <c r="C97" s="14" t="s">
        <v>9</v>
      </c>
      <c r="D97" s="14" t="s">
        <v>11</v>
      </c>
      <c r="E97" s="16">
        <f t="shared" si="0"/>
        <v>27</v>
      </c>
      <c r="F97" s="23">
        <f>$F$70+238.9</f>
        <v>876.3</v>
      </c>
      <c r="G97" s="20"/>
      <c r="H97" s="28" t="s">
        <v>148</v>
      </c>
      <c r="I97" s="30"/>
    </row>
    <row r="98" spans="1:18" ht="20" customHeight="1" x14ac:dyDescent="0.2">
      <c r="A98" s="13">
        <f t="shared" si="2"/>
        <v>95</v>
      </c>
      <c r="B98" s="14" t="s">
        <v>17</v>
      </c>
      <c r="C98" s="14" t="s">
        <v>9</v>
      </c>
      <c r="D98" s="14" t="s">
        <v>140</v>
      </c>
      <c r="E98" s="16">
        <f t="shared" si="0"/>
        <v>1.2999999999999545</v>
      </c>
      <c r="F98" s="23">
        <f>$F$70+240.2</f>
        <v>877.59999999999991</v>
      </c>
      <c r="G98" s="20"/>
      <c r="H98" s="28" t="s">
        <v>149</v>
      </c>
      <c r="I98" s="30"/>
    </row>
    <row r="99" spans="1:18" ht="34.5" customHeight="1" x14ac:dyDescent="0.2">
      <c r="A99" s="13">
        <f t="shared" si="2"/>
        <v>96</v>
      </c>
      <c r="B99" s="14" t="s">
        <v>141</v>
      </c>
      <c r="C99" s="14" t="s">
        <v>8</v>
      </c>
      <c r="D99" s="14" t="s">
        <v>142</v>
      </c>
      <c r="E99" s="16">
        <f t="shared" si="0"/>
        <v>0.60000000000013642</v>
      </c>
      <c r="F99" s="23">
        <f>$F$70+240.8</f>
        <v>878.2</v>
      </c>
      <c r="G99" s="20"/>
      <c r="H99" s="28" t="s">
        <v>150</v>
      </c>
      <c r="I99" s="30"/>
    </row>
    <row r="100" spans="1:18" ht="20" customHeight="1" x14ac:dyDescent="0.2">
      <c r="A100" s="13">
        <f t="shared" si="2"/>
        <v>97</v>
      </c>
      <c r="B100" s="14" t="s">
        <v>16</v>
      </c>
      <c r="C100" s="14" t="s">
        <v>8</v>
      </c>
      <c r="D100" s="14" t="s">
        <v>11</v>
      </c>
      <c r="E100" s="16">
        <f t="shared" si="0"/>
        <v>12</v>
      </c>
      <c r="F100" s="23">
        <f>$F$70+252.8</f>
        <v>890.2</v>
      </c>
      <c r="G100" s="20"/>
      <c r="H100" s="28"/>
      <c r="I100" s="30"/>
    </row>
    <row r="101" spans="1:18" ht="20" customHeight="1" x14ac:dyDescent="0.2">
      <c r="A101" s="13">
        <f t="shared" si="2"/>
        <v>98</v>
      </c>
      <c r="B101" s="14" t="s">
        <v>16</v>
      </c>
      <c r="C101" s="14" t="s">
        <v>8</v>
      </c>
      <c r="D101" s="14" t="s">
        <v>143</v>
      </c>
      <c r="E101" s="16">
        <f t="shared" si="0"/>
        <v>1</v>
      </c>
      <c r="F101" s="23">
        <f>$F$70+253.8</f>
        <v>891.2</v>
      </c>
      <c r="G101" s="20"/>
      <c r="H101" s="28" t="s">
        <v>151</v>
      </c>
      <c r="I101" s="30"/>
    </row>
    <row r="102" spans="1:18" ht="45" customHeight="1" x14ac:dyDescent="0.2">
      <c r="A102" s="46">
        <f t="shared" si="2"/>
        <v>99</v>
      </c>
      <c r="B102" s="47" t="s">
        <v>157</v>
      </c>
      <c r="C102" s="47" t="s">
        <v>9</v>
      </c>
      <c r="D102" s="47" t="s">
        <v>144</v>
      </c>
      <c r="E102" s="49">
        <f t="shared" si="0"/>
        <v>23.299999999999955</v>
      </c>
      <c r="F102" s="53">
        <f>$F$70+277.1</f>
        <v>914.5</v>
      </c>
      <c r="G102" s="60"/>
      <c r="H102" s="59" t="s">
        <v>213</v>
      </c>
      <c r="I102" s="61" t="s">
        <v>233</v>
      </c>
      <c r="K102" s="1">
        <f>F102/30</f>
        <v>30.483333333333334</v>
      </c>
      <c r="L102" s="1">
        <f>K102+8.5</f>
        <v>38.983333333333334</v>
      </c>
      <c r="M102" s="1">
        <f>0.98*60</f>
        <v>58.8</v>
      </c>
      <c r="P102" s="1">
        <f>F102/12</f>
        <v>76.208333333333329</v>
      </c>
      <c r="Q102" s="1">
        <f>P102+8.5</f>
        <v>84.708333333333329</v>
      </c>
      <c r="R102" s="1">
        <f>0.71*60</f>
        <v>42.599999999999994</v>
      </c>
    </row>
    <row r="103" spans="1:18" ht="20" customHeight="1" x14ac:dyDescent="0.2">
      <c r="A103" s="13">
        <f t="shared" si="2"/>
        <v>100</v>
      </c>
      <c r="B103" s="14" t="s">
        <v>16</v>
      </c>
      <c r="C103" s="14" t="s">
        <v>8</v>
      </c>
      <c r="D103" s="14" t="s">
        <v>153</v>
      </c>
      <c r="E103" s="16">
        <f t="shared" si="0"/>
        <v>26.799999999999955</v>
      </c>
      <c r="F103" s="23">
        <f>$F$70+303.9</f>
        <v>941.3</v>
      </c>
      <c r="G103" s="20"/>
      <c r="H103" s="28"/>
      <c r="I103" s="30"/>
    </row>
    <row r="104" spans="1:18" ht="20" customHeight="1" x14ac:dyDescent="0.2">
      <c r="A104" s="13">
        <f t="shared" si="2"/>
        <v>101</v>
      </c>
      <c r="B104" s="22" t="s">
        <v>81</v>
      </c>
      <c r="C104" s="14" t="s">
        <v>9</v>
      </c>
      <c r="D104" s="14" t="s">
        <v>154</v>
      </c>
      <c r="E104" s="16">
        <f t="shared" si="0"/>
        <v>3.1000000000000227</v>
      </c>
      <c r="F104" s="23">
        <f>$F$70+307</f>
        <v>944.4</v>
      </c>
      <c r="G104" s="20"/>
      <c r="H104" s="29" t="s">
        <v>158</v>
      </c>
      <c r="I104" s="30"/>
    </row>
    <row r="105" spans="1:18" ht="20" customHeight="1" x14ac:dyDescent="0.2">
      <c r="A105" s="13">
        <f t="shared" si="2"/>
        <v>102</v>
      </c>
      <c r="B105" s="14" t="s">
        <v>16</v>
      </c>
      <c r="C105" s="14" t="s">
        <v>9</v>
      </c>
      <c r="D105" s="14" t="s">
        <v>153</v>
      </c>
      <c r="E105" s="16">
        <f t="shared" si="0"/>
        <v>14</v>
      </c>
      <c r="F105" s="23">
        <f>$F$70+321</f>
        <v>958.4</v>
      </c>
      <c r="G105" s="20"/>
      <c r="H105" s="29" t="s">
        <v>159</v>
      </c>
      <c r="I105" s="30"/>
    </row>
    <row r="106" spans="1:18" ht="20" customHeight="1" x14ac:dyDescent="0.2">
      <c r="A106" s="13">
        <f t="shared" si="2"/>
        <v>103</v>
      </c>
      <c r="B106" s="22" t="s">
        <v>16</v>
      </c>
      <c r="C106" s="14" t="s">
        <v>9</v>
      </c>
      <c r="D106" s="14" t="s">
        <v>153</v>
      </c>
      <c r="E106" s="16">
        <f t="shared" ref="E106:E127" si="3">F106-F105</f>
        <v>21.699999999999932</v>
      </c>
      <c r="F106" s="23">
        <f>$F$70+342.7</f>
        <v>980.09999999999991</v>
      </c>
      <c r="G106" s="20"/>
      <c r="H106" s="24"/>
      <c r="I106" s="30"/>
    </row>
    <row r="107" spans="1:18" ht="20" customHeight="1" x14ac:dyDescent="0.2">
      <c r="A107" s="13">
        <f t="shared" si="2"/>
        <v>104</v>
      </c>
      <c r="B107" s="14" t="s">
        <v>14</v>
      </c>
      <c r="C107" s="14" t="s">
        <v>8</v>
      </c>
      <c r="D107" s="14" t="s">
        <v>153</v>
      </c>
      <c r="E107" s="16">
        <f t="shared" si="3"/>
        <v>1.2000000000000455</v>
      </c>
      <c r="F107" s="23">
        <f>$F$70+343.9</f>
        <v>981.3</v>
      </c>
      <c r="G107" s="20"/>
      <c r="H107" s="29" t="s">
        <v>160</v>
      </c>
      <c r="I107" s="30"/>
    </row>
    <row r="108" spans="1:18" ht="20" customHeight="1" x14ac:dyDescent="0.2">
      <c r="A108" s="13">
        <f t="shared" si="2"/>
        <v>105</v>
      </c>
      <c r="B108" s="14" t="s">
        <v>16</v>
      </c>
      <c r="C108" s="14" t="s">
        <v>9</v>
      </c>
      <c r="D108" s="14" t="s">
        <v>153</v>
      </c>
      <c r="E108" s="16">
        <f t="shared" si="3"/>
        <v>32.900000000000091</v>
      </c>
      <c r="F108" s="23">
        <f>$F$70+376.8</f>
        <v>1014.2</v>
      </c>
      <c r="G108" s="20"/>
      <c r="H108" s="29" t="s">
        <v>161</v>
      </c>
      <c r="I108" s="30"/>
    </row>
    <row r="109" spans="1:18" ht="20" customHeight="1" x14ac:dyDescent="0.2">
      <c r="A109" s="13">
        <f t="shared" si="2"/>
        <v>106</v>
      </c>
      <c r="B109" s="14" t="s">
        <v>18</v>
      </c>
      <c r="C109" s="14" t="s">
        <v>8</v>
      </c>
      <c r="D109" s="14" t="s">
        <v>162</v>
      </c>
      <c r="E109" s="16">
        <f t="shared" si="3"/>
        <v>1</v>
      </c>
      <c r="F109" s="23">
        <f>$F$70+377.8</f>
        <v>1015.2</v>
      </c>
      <c r="G109" s="20"/>
      <c r="H109" s="29" t="s">
        <v>163</v>
      </c>
      <c r="I109" s="30"/>
    </row>
    <row r="110" spans="1:18" ht="20" customHeight="1" x14ac:dyDescent="0.2">
      <c r="A110" s="13">
        <f t="shared" si="2"/>
        <v>107</v>
      </c>
      <c r="B110" s="14" t="s">
        <v>14</v>
      </c>
      <c r="C110" s="14" t="s">
        <v>8</v>
      </c>
      <c r="D110" s="14" t="s">
        <v>154</v>
      </c>
      <c r="E110" s="16">
        <f t="shared" si="3"/>
        <v>7.8999999999998636</v>
      </c>
      <c r="F110" s="23">
        <f>$F$70+385.7</f>
        <v>1023.0999999999999</v>
      </c>
      <c r="G110" s="20"/>
      <c r="H110" s="29" t="s">
        <v>164</v>
      </c>
      <c r="I110" s="30"/>
    </row>
    <row r="111" spans="1:18" ht="41" customHeight="1" x14ac:dyDescent="0.2">
      <c r="A111" s="13">
        <f t="shared" si="2"/>
        <v>108</v>
      </c>
      <c r="B111" s="14" t="s">
        <v>16</v>
      </c>
      <c r="C111" s="14" t="s">
        <v>9</v>
      </c>
      <c r="D111" s="14" t="s">
        <v>154</v>
      </c>
      <c r="E111" s="16">
        <f t="shared" si="3"/>
        <v>2.5</v>
      </c>
      <c r="F111" s="23">
        <f>$F$70+388.2</f>
        <v>1025.5999999999999</v>
      </c>
      <c r="G111" s="20"/>
      <c r="H111" s="28" t="s">
        <v>206</v>
      </c>
      <c r="I111" s="30"/>
    </row>
    <row r="112" spans="1:18" ht="55" customHeight="1" x14ac:dyDescent="0.2">
      <c r="A112" s="46">
        <f t="shared" si="2"/>
        <v>109</v>
      </c>
      <c r="B112" s="52" t="s">
        <v>229</v>
      </c>
      <c r="C112" s="47" t="s">
        <v>15</v>
      </c>
      <c r="D112" s="47" t="s">
        <v>154</v>
      </c>
      <c r="E112" s="49">
        <f t="shared" si="3"/>
        <v>6.8000000000001819</v>
      </c>
      <c r="F112" s="53">
        <f>$F$70+395</f>
        <v>1032.4000000000001</v>
      </c>
      <c r="G112" s="60"/>
      <c r="H112" s="58" t="s">
        <v>167</v>
      </c>
      <c r="I112" s="61"/>
    </row>
    <row r="113" spans="1:18" ht="20" customHeight="1" x14ac:dyDescent="0.2">
      <c r="A113" s="13">
        <f t="shared" si="2"/>
        <v>110</v>
      </c>
      <c r="B113" s="14" t="s">
        <v>14</v>
      </c>
      <c r="C113" s="14" t="s">
        <v>8</v>
      </c>
      <c r="D113" s="14" t="s">
        <v>154</v>
      </c>
      <c r="E113" s="16">
        <f t="shared" si="3"/>
        <v>6.7999999999999545</v>
      </c>
      <c r="F113" s="23">
        <f>$F$70+401.8</f>
        <v>1039.2</v>
      </c>
      <c r="G113" s="20"/>
      <c r="H113" s="29" t="s">
        <v>166</v>
      </c>
      <c r="I113" s="30"/>
    </row>
    <row r="114" spans="1:18" ht="20" customHeight="1" x14ac:dyDescent="0.2">
      <c r="A114" s="13">
        <f t="shared" si="2"/>
        <v>111</v>
      </c>
      <c r="B114" s="14" t="s">
        <v>16</v>
      </c>
      <c r="C114" s="14" t="s">
        <v>9</v>
      </c>
      <c r="D114" s="14" t="s">
        <v>162</v>
      </c>
      <c r="E114" s="16">
        <f t="shared" si="3"/>
        <v>2.5</v>
      </c>
      <c r="F114" s="23">
        <f>$F$70+404.3</f>
        <v>1041.7</v>
      </c>
      <c r="G114" s="20"/>
      <c r="H114" s="24"/>
      <c r="I114" s="30"/>
    </row>
    <row r="115" spans="1:18" ht="20" customHeight="1" x14ac:dyDescent="0.2">
      <c r="A115" s="13">
        <f t="shared" si="2"/>
        <v>112</v>
      </c>
      <c r="B115" s="22" t="s">
        <v>19</v>
      </c>
      <c r="C115" s="14" t="s">
        <v>8</v>
      </c>
      <c r="D115" s="14" t="s">
        <v>168</v>
      </c>
      <c r="E115" s="16">
        <f t="shared" si="3"/>
        <v>7.5999999999999091</v>
      </c>
      <c r="F115" s="23">
        <f>$F$70+411.9</f>
        <v>1049.3</v>
      </c>
      <c r="G115" s="20"/>
      <c r="H115" s="24" t="s">
        <v>165</v>
      </c>
      <c r="I115" s="30"/>
    </row>
    <row r="116" spans="1:18" ht="20" customHeight="1" x14ac:dyDescent="0.2">
      <c r="A116" s="13">
        <f t="shared" si="2"/>
        <v>113</v>
      </c>
      <c r="B116" s="22" t="s">
        <v>81</v>
      </c>
      <c r="C116" s="14" t="s">
        <v>9</v>
      </c>
      <c r="D116" s="14" t="s">
        <v>169</v>
      </c>
      <c r="E116" s="16">
        <f t="shared" si="3"/>
        <v>13</v>
      </c>
      <c r="F116" s="23">
        <f>$F$70+424.9</f>
        <v>1062.3</v>
      </c>
      <c r="G116" s="20"/>
      <c r="H116" s="26" t="s">
        <v>170</v>
      </c>
      <c r="I116" s="30"/>
    </row>
    <row r="117" spans="1:18" ht="20" customHeight="1" x14ac:dyDescent="0.2">
      <c r="A117" s="13">
        <f t="shared" si="2"/>
        <v>114</v>
      </c>
      <c r="B117" s="22" t="s">
        <v>138</v>
      </c>
      <c r="C117" s="14" t="s">
        <v>171</v>
      </c>
      <c r="D117" s="14" t="s">
        <v>169</v>
      </c>
      <c r="E117" s="16">
        <f t="shared" si="3"/>
        <v>10.299999999999955</v>
      </c>
      <c r="F117" s="23">
        <f>$F$70+435.2</f>
        <v>1072.5999999999999</v>
      </c>
      <c r="G117" s="20"/>
      <c r="H117" s="26" t="s">
        <v>172</v>
      </c>
      <c r="I117" s="30"/>
    </row>
    <row r="118" spans="1:18" ht="20" customHeight="1" x14ac:dyDescent="0.2">
      <c r="A118" s="13">
        <f t="shared" si="2"/>
        <v>115</v>
      </c>
      <c r="B118" s="14" t="s">
        <v>14</v>
      </c>
      <c r="C118" s="14" t="s">
        <v>8</v>
      </c>
      <c r="D118" s="14" t="s">
        <v>79</v>
      </c>
      <c r="E118" s="16">
        <f t="shared" si="3"/>
        <v>0.20000000000004547</v>
      </c>
      <c r="F118" s="23">
        <f>$F$70+435.4</f>
        <v>1072.8</v>
      </c>
      <c r="G118" s="20"/>
      <c r="H118" s="26" t="s">
        <v>173</v>
      </c>
      <c r="I118" s="30"/>
    </row>
    <row r="119" spans="1:18" ht="20" customHeight="1" x14ac:dyDescent="0.2">
      <c r="A119" s="13">
        <f t="shared" si="2"/>
        <v>116</v>
      </c>
      <c r="B119" s="22" t="s">
        <v>174</v>
      </c>
      <c r="C119" s="14" t="s">
        <v>9</v>
      </c>
      <c r="D119" s="14" t="s">
        <v>134</v>
      </c>
      <c r="E119" s="16">
        <f t="shared" si="3"/>
        <v>12</v>
      </c>
      <c r="F119" s="23">
        <f>1084.8</f>
        <v>1084.8</v>
      </c>
      <c r="G119" s="20"/>
      <c r="H119" s="24"/>
      <c r="I119" s="30"/>
    </row>
    <row r="120" spans="1:18" ht="20" customHeight="1" x14ac:dyDescent="0.2">
      <c r="A120" s="13">
        <f t="shared" si="2"/>
        <v>117</v>
      </c>
      <c r="B120" s="14" t="s">
        <v>175</v>
      </c>
      <c r="C120" s="14" t="s">
        <v>9</v>
      </c>
      <c r="D120" s="14" t="s">
        <v>176</v>
      </c>
      <c r="E120" s="16">
        <f t="shared" si="3"/>
        <v>0.40000000000009095</v>
      </c>
      <c r="F120" s="23">
        <f>$F$70+447.8</f>
        <v>1085.2</v>
      </c>
      <c r="G120" s="20"/>
      <c r="H120" s="24"/>
      <c r="I120" s="30"/>
    </row>
    <row r="121" spans="1:18" ht="20" customHeight="1" x14ac:dyDescent="0.2">
      <c r="A121" s="13">
        <f t="shared" si="2"/>
        <v>118</v>
      </c>
      <c r="B121" s="14" t="s">
        <v>16</v>
      </c>
      <c r="C121" s="14" t="s">
        <v>8</v>
      </c>
      <c r="D121" s="14" t="s">
        <v>177</v>
      </c>
      <c r="E121" s="16">
        <f t="shared" si="3"/>
        <v>1.0999999999999091</v>
      </c>
      <c r="F121" s="23">
        <f>$F$70+448.9</f>
        <v>1086.3</v>
      </c>
      <c r="G121" s="20"/>
      <c r="H121" s="26"/>
      <c r="I121" s="30"/>
    </row>
    <row r="122" spans="1:18" ht="20" customHeight="1" x14ac:dyDescent="0.2">
      <c r="A122" s="13">
        <f t="shared" si="2"/>
        <v>119</v>
      </c>
      <c r="B122" s="14" t="s">
        <v>12</v>
      </c>
      <c r="C122" s="14" t="s">
        <v>9</v>
      </c>
      <c r="D122" s="14" t="s">
        <v>11</v>
      </c>
      <c r="E122" s="16">
        <f t="shared" si="3"/>
        <v>3.6000000000001364</v>
      </c>
      <c r="F122" s="23">
        <f>$F$70+452.5</f>
        <v>1089.9000000000001</v>
      </c>
      <c r="G122" s="20"/>
      <c r="H122" s="24"/>
      <c r="I122" s="30"/>
    </row>
    <row r="123" spans="1:18" ht="20" customHeight="1" x14ac:dyDescent="0.2">
      <c r="A123" s="13">
        <f t="shared" si="2"/>
        <v>120</v>
      </c>
      <c r="B123" s="14" t="s">
        <v>22</v>
      </c>
      <c r="C123" s="14" t="s">
        <v>8</v>
      </c>
      <c r="D123" s="14" t="s">
        <v>11</v>
      </c>
      <c r="E123" s="16">
        <f t="shared" si="3"/>
        <v>1.8999999999998636</v>
      </c>
      <c r="F123" s="23">
        <f>$F$70+454.4</f>
        <v>1091.8</v>
      </c>
      <c r="G123" s="20"/>
      <c r="H123" s="26"/>
      <c r="I123" s="30"/>
    </row>
    <row r="124" spans="1:18" ht="20" customHeight="1" x14ac:dyDescent="0.2">
      <c r="A124" s="13">
        <f t="shared" si="2"/>
        <v>121</v>
      </c>
      <c r="B124" s="14" t="s">
        <v>16</v>
      </c>
      <c r="C124" s="14" t="s">
        <v>8</v>
      </c>
      <c r="D124" s="14" t="s">
        <v>11</v>
      </c>
      <c r="E124" s="16">
        <f t="shared" si="3"/>
        <v>0.10000000000013642</v>
      </c>
      <c r="F124" s="23">
        <f>$F$70+454.5</f>
        <v>1091.9000000000001</v>
      </c>
      <c r="G124" s="20"/>
      <c r="H124" s="26"/>
      <c r="I124" s="30"/>
    </row>
    <row r="125" spans="1:18" ht="20" customHeight="1" x14ac:dyDescent="0.2">
      <c r="A125" s="13">
        <f t="shared" si="2"/>
        <v>122</v>
      </c>
      <c r="B125" s="14" t="s">
        <v>12</v>
      </c>
      <c r="C125" s="14" t="s">
        <v>9</v>
      </c>
      <c r="D125" s="14" t="s">
        <v>58</v>
      </c>
      <c r="E125" s="16">
        <f t="shared" si="3"/>
        <v>0.39999999999986358</v>
      </c>
      <c r="F125" s="23">
        <f>$F$70+454.9</f>
        <v>1092.3</v>
      </c>
      <c r="G125" s="20"/>
      <c r="H125" s="26"/>
      <c r="I125" s="30"/>
    </row>
    <row r="126" spans="1:18" ht="20" customHeight="1" x14ac:dyDescent="0.2">
      <c r="A126" s="46">
        <f t="shared" si="2"/>
        <v>123</v>
      </c>
      <c r="B126" s="47" t="s">
        <v>238</v>
      </c>
      <c r="C126" s="47" t="s">
        <v>7</v>
      </c>
      <c r="D126" s="47" t="s">
        <v>58</v>
      </c>
      <c r="E126" s="49">
        <f t="shared" si="3"/>
        <v>3.7999999999999545</v>
      </c>
      <c r="F126" s="53">
        <f>$F$70+458.7</f>
        <v>1096.0999999999999</v>
      </c>
      <c r="G126" s="62"/>
      <c r="H126" s="59" t="s">
        <v>178</v>
      </c>
      <c r="I126" s="63" t="s">
        <v>209</v>
      </c>
      <c r="K126" s="1">
        <f>F126/30</f>
        <v>36.536666666666662</v>
      </c>
      <c r="L126" s="1">
        <f>K126+8.5</f>
        <v>45.036666666666662</v>
      </c>
      <c r="M126" s="1">
        <f>0.04*60</f>
        <v>2.4</v>
      </c>
      <c r="P126" s="1">
        <f>F126/12</f>
        <v>91.341666666666654</v>
      </c>
      <c r="Q126" s="1">
        <f>P126+8.5</f>
        <v>99.841666666666654</v>
      </c>
      <c r="R126" s="1">
        <f>0.84*60</f>
        <v>50.4</v>
      </c>
    </row>
    <row r="127" spans="1:18" ht="20" customHeight="1" x14ac:dyDescent="0.2">
      <c r="A127" s="13">
        <f t="shared" si="2"/>
        <v>124</v>
      </c>
      <c r="B127" s="14" t="s">
        <v>17</v>
      </c>
      <c r="C127" s="14" t="s">
        <v>8</v>
      </c>
      <c r="D127" s="14" t="s">
        <v>179</v>
      </c>
      <c r="E127" s="16">
        <f t="shared" si="3"/>
        <v>0.40000000000009095</v>
      </c>
      <c r="F127" s="23">
        <f>$F$70+459.1</f>
        <v>1096.5</v>
      </c>
      <c r="G127" s="20"/>
      <c r="H127" s="28"/>
      <c r="I127" s="30"/>
    </row>
    <row r="128" spans="1:18" ht="20" customHeight="1" x14ac:dyDescent="0.2">
      <c r="A128" s="13">
        <f t="shared" si="2"/>
        <v>125</v>
      </c>
      <c r="B128" s="14" t="s">
        <v>201</v>
      </c>
      <c r="C128" s="14" t="s">
        <v>9</v>
      </c>
      <c r="D128" s="14" t="s">
        <v>202</v>
      </c>
      <c r="E128" s="16">
        <f t="shared" ref="E128" si="4">F128-F127</f>
        <v>27.099999999999909</v>
      </c>
      <c r="F128" s="23">
        <f>$F$70+486.2</f>
        <v>1123.5999999999999</v>
      </c>
      <c r="G128" s="20"/>
      <c r="H128" s="28" t="s">
        <v>117</v>
      </c>
      <c r="I128" s="30"/>
    </row>
    <row r="129" spans="1:18" ht="20" customHeight="1" x14ac:dyDescent="0.2">
      <c r="A129" s="13">
        <f t="shared" si="2"/>
        <v>126</v>
      </c>
      <c r="B129" s="14" t="s">
        <v>180</v>
      </c>
      <c r="C129" s="14" t="s">
        <v>9</v>
      </c>
      <c r="D129" s="14" t="s">
        <v>38</v>
      </c>
      <c r="E129" s="16">
        <f t="shared" ref="E129:E140" si="5">F129-F128</f>
        <v>2.9000000000000909</v>
      </c>
      <c r="F129" s="23">
        <f>$F$70+489.1</f>
        <v>1126.5</v>
      </c>
      <c r="G129" s="20"/>
      <c r="H129" s="28" t="s">
        <v>193</v>
      </c>
      <c r="I129" s="30"/>
    </row>
    <row r="130" spans="1:18" ht="20" customHeight="1" x14ac:dyDescent="0.2">
      <c r="A130" s="13">
        <f t="shared" si="2"/>
        <v>127</v>
      </c>
      <c r="B130" s="14" t="s">
        <v>16</v>
      </c>
      <c r="C130" s="14" t="s">
        <v>9</v>
      </c>
      <c r="D130" s="14" t="s">
        <v>181</v>
      </c>
      <c r="E130" s="16">
        <f t="shared" si="5"/>
        <v>1.0999999999999091</v>
      </c>
      <c r="F130" s="23">
        <f>$F$70+490.2</f>
        <v>1127.5999999999999</v>
      </c>
      <c r="G130" s="20"/>
      <c r="H130" s="28" t="s">
        <v>194</v>
      </c>
      <c r="I130" s="30"/>
    </row>
    <row r="131" spans="1:18" ht="20" customHeight="1" x14ac:dyDescent="0.2">
      <c r="A131" s="13">
        <f t="shared" si="2"/>
        <v>128</v>
      </c>
      <c r="B131" s="14" t="s">
        <v>182</v>
      </c>
      <c r="C131" s="14" t="s">
        <v>8</v>
      </c>
      <c r="D131" s="14" t="s">
        <v>183</v>
      </c>
      <c r="E131" s="16">
        <f t="shared" si="5"/>
        <v>23.700000000000045</v>
      </c>
      <c r="F131" s="23">
        <f>$F$70+513.9</f>
        <v>1151.3</v>
      </c>
      <c r="G131" s="20"/>
      <c r="H131" s="28" t="s">
        <v>195</v>
      </c>
      <c r="I131" s="30"/>
    </row>
    <row r="132" spans="1:18" ht="20" customHeight="1" x14ac:dyDescent="0.2">
      <c r="A132" s="13">
        <f t="shared" si="2"/>
        <v>129</v>
      </c>
      <c r="B132" s="14" t="s">
        <v>19</v>
      </c>
      <c r="C132" s="14" t="s">
        <v>9</v>
      </c>
      <c r="D132" s="14" t="s">
        <v>184</v>
      </c>
      <c r="E132" s="16">
        <f t="shared" si="5"/>
        <v>2</v>
      </c>
      <c r="F132" s="23">
        <f>$F$70+515.9</f>
        <v>1153.3</v>
      </c>
      <c r="G132" s="20"/>
      <c r="H132" s="28" t="s">
        <v>196</v>
      </c>
      <c r="I132" s="30"/>
    </row>
    <row r="133" spans="1:18" ht="20" customHeight="1" x14ac:dyDescent="0.2">
      <c r="A133" s="13">
        <f t="shared" si="2"/>
        <v>130</v>
      </c>
      <c r="B133" s="14" t="s">
        <v>185</v>
      </c>
      <c r="C133" s="14" t="s">
        <v>9</v>
      </c>
      <c r="D133" s="14" t="s">
        <v>184</v>
      </c>
      <c r="E133" s="16">
        <f t="shared" si="5"/>
        <v>32.200000000000045</v>
      </c>
      <c r="F133" s="23">
        <f>$F$70+548.1</f>
        <v>1185.5</v>
      </c>
      <c r="G133" s="20"/>
      <c r="H133" s="28"/>
      <c r="I133" s="30"/>
    </row>
    <row r="134" spans="1:18" ht="36.5" customHeight="1" x14ac:dyDescent="0.2">
      <c r="A134" s="46">
        <f t="shared" si="2"/>
        <v>131</v>
      </c>
      <c r="B134" s="47" t="s">
        <v>225</v>
      </c>
      <c r="C134" s="47" t="s">
        <v>7</v>
      </c>
      <c r="D134" s="47" t="s">
        <v>184</v>
      </c>
      <c r="E134" s="49">
        <f t="shared" si="5"/>
        <v>5.7999999999999545</v>
      </c>
      <c r="F134" s="53">
        <f>$F$70+553.9</f>
        <v>1191.3</v>
      </c>
      <c r="G134" s="60"/>
      <c r="H134" s="59" t="s">
        <v>217</v>
      </c>
      <c r="I134" s="61" t="s">
        <v>227</v>
      </c>
      <c r="K134" s="1">
        <f>F134/30</f>
        <v>39.71</v>
      </c>
      <c r="L134" s="1">
        <f>K134+8.5</f>
        <v>48.21</v>
      </c>
      <c r="M134" s="1">
        <f>60*0.21</f>
        <v>12.6</v>
      </c>
      <c r="P134" s="1">
        <f>F134/12</f>
        <v>99.274999999999991</v>
      </c>
      <c r="Q134" s="1">
        <f>P134+8.5</f>
        <v>107.77499999999999</v>
      </c>
      <c r="R134" s="1">
        <f>0.8*60</f>
        <v>48</v>
      </c>
    </row>
    <row r="135" spans="1:18" ht="20" customHeight="1" x14ac:dyDescent="0.2">
      <c r="A135" s="13">
        <f t="shared" si="2"/>
        <v>132</v>
      </c>
      <c r="B135" s="14" t="s">
        <v>186</v>
      </c>
      <c r="C135" s="14" t="s">
        <v>187</v>
      </c>
      <c r="D135" s="14" t="s">
        <v>181</v>
      </c>
      <c r="E135" s="16">
        <f t="shared" si="5"/>
        <v>76.399999999999864</v>
      </c>
      <c r="F135" s="23">
        <f>$F$70+630.3</f>
        <v>1267.6999999999998</v>
      </c>
      <c r="G135" s="20"/>
      <c r="H135" s="28" t="s">
        <v>197</v>
      </c>
      <c r="I135" s="30"/>
    </row>
    <row r="136" spans="1:18" ht="20" customHeight="1" x14ac:dyDescent="0.2">
      <c r="A136" s="13">
        <f t="shared" si="2"/>
        <v>133</v>
      </c>
      <c r="B136" s="14" t="s">
        <v>182</v>
      </c>
      <c r="C136" s="14" t="s">
        <v>8</v>
      </c>
      <c r="D136" s="14" t="s">
        <v>94</v>
      </c>
      <c r="E136" s="16">
        <f t="shared" si="5"/>
        <v>15.600000000000136</v>
      </c>
      <c r="F136" s="23">
        <f>$F$70+645.9</f>
        <v>1283.3</v>
      </c>
      <c r="G136" s="20"/>
      <c r="H136" s="28" t="s">
        <v>198</v>
      </c>
      <c r="I136" s="30"/>
    </row>
    <row r="137" spans="1:18" ht="20" customHeight="1" x14ac:dyDescent="0.2">
      <c r="A137" s="13">
        <f t="shared" si="2"/>
        <v>134</v>
      </c>
      <c r="B137" s="14" t="s">
        <v>19</v>
      </c>
      <c r="C137" s="14" t="s">
        <v>8</v>
      </c>
      <c r="D137" s="14" t="s">
        <v>188</v>
      </c>
      <c r="E137" s="16">
        <f t="shared" si="5"/>
        <v>13.100000000000136</v>
      </c>
      <c r="F137" s="23">
        <f>$F$70+659</f>
        <v>1296.4000000000001</v>
      </c>
      <c r="G137" s="20"/>
      <c r="H137" s="28" t="s">
        <v>199</v>
      </c>
      <c r="I137" s="30"/>
    </row>
    <row r="138" spans="1:18" ht="20" customHeight="1" x14ac:dyDescent="0.2">
      <c r="A138" s="13">
        <f t="shared" si="2"/>
        <v>135</v>
      </c>
      <c r="B138" s="14" t="s">
        <v>189</v>
      </c>
      <c r="C138" s="14" t="s">
        <v>8</v>
      </c>
      <c r="D138" s="14" t="s">
        <v>181</v>
      </c>
      <c r="E138" s="16">
        <f t="shared" si="5"/>
        <v>5.0999999999999091</v>
      </c>
      <c r="F138" s="23">
        <f>$F$70+664.1</f>
        <v>1301.5</v>
      </c>
      <c r="G138" s="20"/>
      <c r="H138" s="28" t="s">
        <v>200</v>
      </c>
      <c r="I138" s="30"/>
    </row>
    <row r="139" spans="1:18" ht="20" customHeight="1" x14ac:dyDescent="0.2">
      <c r="A139" s="13">
        <f t="shared" si="2"/>
        <v>136</v>
      </c>
      <c r="B139" s="14" t="s">
        <v>17</v>
      </c>
      <c r="C139" s="14" t="s">
        <v>8</v>
      </c>
      <c r="D139" s="14" t="s">
        <v>190</v>
      </c>
      <c r="E139" s="16">
        <f t="shared" si="5"/>
        <v>7.2999999999999545</v>
      </c>
      <c r="F139" s="23">
        <f>$F$70+671.4</f>
        <v>1308.8</v>
      </c>
      <c r="G139" s="20"/>
      <c r="H139" s="28"/>
      <c r="I139" s="30"/>
    </row>
    <row r="140" spans="1:18" ht="39" customHeight="1" x14ac:dyDescent="0.2">
      <c r="A140" s="46">
        <f t="shared" si="2"/>
        <v>137</v>
      </c>
      <c r="B140" s="52" t="s">
        <v>191</v>
      </c>
      <c r="C140" s="47" t="s">
        <v>7</v>
      </c>
      <c r="D140" s="47" t="s">
        <v>192</v>
      </c>
      <c r="E140" s="49">
        <f t="shared" si="5"/>
        <v>0.79999999999995453</v>
      </c>
      <c r="F140" s="53">
        <f>$F$70+672.2</f>
        <v>1309.5999999999999</v>
      </c>
      <c r="G140" s="60"/>
      <c r="H140" s="59" t="s">
        <v>226</v>
      </c>
      <c r="I140" s="61" t="s">
        <v>237</v>
      </c>
      <c r="K140" s="1">
        <f>F140/30</f>
        <v>43.653333333333329</v>
      </c>
      <c r="L140" s="1">
        <f>K140+8.5</f>
        <v>52.153333333333329</v>
      </c>
      <c r="M140" s="1">
        <f>0.15*60</f>
        <v>9</v>
      </c>
    </row>
    <row r="141" spans="1:18" ht="6" customHeight="1" thickBot="1" x14ac:dyDescent="0.25">
      <c r="A141" s="33"/>
      <c r="B141" s="34"/>
      <c r="C141" s="35"/>
      <c r="D141" s="35"/>
      <c r="E141" s="36"/>
      <c r="F141" s="37"/>
      <c r="G141" s="38"/>
      <c r="H141" s="39"/>
      <c r="I141" s="40"/>
    </row>
    <row r="144" spans="1:18" ht="32" x14ac:dyDescent="0.2">
      <c r="B144" s="41" t="s">
        <v>219</v>
      </c>
      <c r="D144" s="41" t="s">
        <v>30</v>
      </c>
      <c r="H144" s="5" t="s">
        <v>39</v>
      </c>
    </row>
    <row r="145" spans="4:8" x14ac:dyDescent="0.2">
      <c r="D145"/>
      <c r="H145"/>
    </row>
    <row r="161" spans="2:8" x14ac:dyDescent="0.2">
      <c r="D161"/>
    </row>
    <row r="162" spans="2:8" x14ac:dyDescent="0.2">
      <c r="B162" s="1" t="s">
        <v>54</v>
      </c>
      <c r="D162" s="1" t="s">
        <v>220</v>
      </c>
      <c r="H162" s="1" t="s">
        <v>235</v>
      </c>
    </row>
    <row r="163" spans="2:8" x14ac:dyDescent="0.2">
      <c r="D163"/>
      <c r="H163"/>
    </row>
    <row r="164" spans="2:8" x14ac:dyDescent="0.2">
      <c r="H164"/>
    </row>
    <row r="167" spans="2:8" x14ac:dyDescent="0.2">
      <c r="B167"/>
      <c r="D167" s="41"/>
      <c r="H167" s="42"/>
    </row>
    <row r="182" spans="1:8" x14ac:dyDescent="0.2">
      <c r="A182" s="5" t="s">
        <v>223</v>
      </c>
      <c r="D182" s="1" t="s">
        <v>157</v>
      </c>
      <c r="H182" s="5" t="s">
        <v>222</v>
      </c>
    </row>
    <row r="183" spans="1:8" x14ac:dyDescent="0.2">
      <c r="B183"/>
    </row>
    <row r="200" spans="1:1" x14ac:dyDescent="0.2">
      <c r="A200" s="1" t="s">
        <v>236</v>
      </c>
    </row>
    <row r="201" spans="1:1" x14ac:dyDescent="0.2">
      <c r="A201"/>
    </row>
  </sheetData>
  <phoneticPr fontId="1"/>
  <printOptions horizontalCentered="1"/>
  <pageMargins left="0.19685039370078741" right="0.19685039370078741" top="0.15748031496062992" bottom="0.15748031496062992" header="0.31496062992125984" footer="0.31496062992125984"/>
  <pageSetup paperSize="9" scale="45" fitToHeight="0" orientation="portrait" horizontalDpi="4294967293" verticalDpi="4294967293" r:id="rId1"/>
  <headerFooter alignWithMargins="0"/>
  <rowBreaks count="1" manualBreakCount="1">
    <brk id="141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E9322-AE74-47A7-B4B5-8E261AD09D7B}">
  <sheetPr>
    <pageSetUpPr fitToPage="1"/>
  </sheetPr>
  <dimension ref="B1:J18"/>
  <sheetViews>
    <sheetView zoomScale="66" zoomScaleNormal="66" zoomScaleSheetLayoutView="100" workbookViewId="0">
      <selection activeCell="B3" sqref="B3:C16"/>
    </sheetView>
  </sheetViews>
  <sheetFormatPr defaultColWidth="7.81640625" defaultRowHeight="16" x14ac:dyDescent="0.2"/>
  <cols>
    <col min="1" max="1" width="7.81640625" style="1"/>
    <col min="2" max="2" width="46.453125" style="1" customWidth="1"/>
    <col min="3" max="3" width="29.08984375" style="1" customWidth="1"/>
    <col min="4" max="4" width="7.81640625" style="1" customWidth="1"/>
    <col min="5" max="16384" width="7.81640625" style="1"/>
  </cols>
  <sheetData>
    <row r="1" spans="2:3" x14ac:dyDescent="0.2">
      <c r="C1" s="44">
        <f ca="1">TODAY()</f>
        <v>45140</v>
      </c>
    </row>
    <row r="3" spans="2:3" ht="21.75" customHeight="1" x14ac:dyDescent="0.2">
      <c r="B3" s="64" t="s">
        <v>0</v>
      </c>
      <c r="C3" s="65" t="s">
        <v>243</v>
      </c>
    </row>
    <row r="4" spans="2:3" ht="20" customHeight="1" x14ac:dyDescent="0.2">
      <c r="B4" s="64" t="s">
        <v>239</v>
      </c>
      <c r="C4" s="65" t="s">
        <v>241</v>
      </c>
    </row>
    <row r="5" spans="2:3" ht="20" customHeight="1" x14ac:dyDescent="0.2">
      <c r="B5" s="64" t="s">
        <v>240</v>
      </c>
      <c r="C5" s="65" t="s">
        <v>242</v>
      </c>
    </row>
    <row r="6" spans="2:3" ht="20" customHeight="1" x14ac:dyDescent="0.2">
      <c r="B6" s="64" t="s">
        <v>218</v>
      </c>
      <c r="C6" s="66" t="s">
        <v>203</v>
      </c>
    </row>
    <row r="7" spans="2:3" ht="20" customHeight="1" x14ac:dyDescent="0.2">
      <c r="B7" s="67" t="s">
        <v>71</v>
      </c>
      <c r="C7" s="64" t="s">
        <v>204</v>
      </c>
    </row>
    <row r="8" spans="2:3" ht="20" customHeight="1" x14ac:dyDescent="0.2">
      <c r="B8" s="67" t="s">
        <v>77</v>
      </c>
      <c r="C8" s="64" t="s">
        <v>231</v>
      </c>
    </row>
    <row r="9" spans="2:3" ht="20" customHeight="1" x14ac:dyDescent="0.2">
      <c r="B9" s="64" t="s">
        <v>211</v>
      </c>
      <c r="C9" s="68" t="s">
        <v>232</v>
      </c>
    </row>
    <row r="10" spans="2:3" ht="20" customHeight="1" x14ac:dyDescent="0.2">
      <c r="B10" s="64" t="s">
        <v>112</v>
      </c>
      <c r="C10" s="68" t="s">
        <v>230</v>
      </c>
    </row>
    <row r="11" spans="2:3" ht="20" customHeight="1" x14ac:dyDescent="0.2">
      <c r="B11" s="64" t="s">
        <v>121</v>
      </c>
      <c r="C11" s="68" t="s">
        <v>207</v>
      </c>
    </row>
    <row r="12" spans="2:3" ht="20" customHeight="1" x14ac:dyDescent="0.2">
      <c r="B12" s="64" t="s">
        <v>156</v>
      </c>
      <c r="C12" s="68" t="s">
        <v>208</v>
      </c>
    </row>
    <row r="13" spans="2:3" ht="20" customHeight="1" x14ac:dyDescent="0.2">
      <c r="B13" s="64" t="s">
        <v>157</v>
      </c>
      <c r="C13" s="68" t="s">
        <v>208</v>
      </c>
    </row>
    <row r="14" spans="2:3" ht="20" customHeight="1" x14ac:dyDescent="0.2">
      <c r="B14" s="64" t="s">
        <v>224</v>
      </c>
      <c r="C14" s="69" t="s">
        <v>209</v>
      </c>
    </row>
    <row r="15" spans="2:3" ht="20" customHeight="1" x14ac:dyDescent="0.2">
      <c r="B15" s="64" t="s">
        <v>225</v>
      </c>
      <c r="C15" s="68" t="s">
        <v>227</v>
      </c>
    </row>
    <row r="16" spans="2:3" ht="20" customHeight="1" x14ac:dyDescent="0.2">
      <c r="B16" s="65" t="s">
        <v>244</v>
      </c>
      <c r="C16" s="68" t="s">
        <v>237</v>
      </c>
    </row>
    <row r="18" spans="2:10" s="2" customFormat="1" x14ac:dyDescent="0.2">
      <c r="B18"/>
      <c r="C18" s="1"/>
      <c r="D18" s="1"/>
      <c r="E18" s="1"/>
      <c r="F18" s="1"/>
      <c r="G18" s="1"/>
      <c r="H18" s="1"/>
      <c r="I18" s="1"/>
      <c r="J18" s="1"/>
    </row>
  </sheetData>
  <phoneticPr fontId="1"/>
  <printOptions horizontalCentered="1"/>
  <pageMargins left="0.19685039370078741" right="0.19685039370078741" top="0.15748031496062992" bottom="0.15748031496062992" header="0.31496062992125984" footer="0.31496062992125984"/>
  <pageSetup paperSize="9" scale="45" fitToHeight="0" orientation="portrait" horizontalDpi="4294967293" vertic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RM811近畿1300km</vt:lpstr>
      <vt:lpstr>RM811近畿1300km (2)</vt:lpstr>
      <vt:lpstr>RM811近畿1300km!Print_Area</vt:lpstr>
      <vt:lpstr>'RM811近畿1300km (2)'!Print_Area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2018-12-25T13:31:05Z</dcterms:created>
  <dcterms:modified xsi:type="dcterms:W3CDTF">2023-08-02T12:36:27Z</dcterms:modified>
</cp:coreProperties>
</file>